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995" windowWidth="11580" windowHeight="363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  <definedName name="_xlnm.Print_Area" localSheetId="0">'аналіз фінансування'!$A$1:$I$161</definedName>
  </definedNames>
  <calcPr fullCalcOnLoad="1"/>
</workbook>
</file>

<file path=xl/sharedStrings.xml><?xml version="1.0" encoding="utf-8"?>
<sst xmlns="http://schemas.openxmlformats.org/spreadsheetml/2006/main" count="166" uniqueCount="119">
  <si>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</si>
  <si>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</si>
  <si>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</si>
  <si>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</si>
  <si>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</si>
  <si>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</si>
  <si>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</si>
  <si>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</si>
  <si>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</si>
  <si>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</si>
  <si>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</si>
  <si>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</si>
  <si>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</si>
  <si>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Фонд охорони навколишнього середовища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</si>
  <si>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</si>
  <si>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</si>
  <si>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</si>
  <si>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</si>
  <si>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</si>
  <si>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</si>
  <si>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ВСЬОГО /загальний, спеціальний фонди/:</t>
  </si>
  <si>
    <t>Будівництво /бюджет розвитку/</t>
  </si>
  <si>
    <t>Внески в стат. фонди /бюдж.розвитку/</t>
  </si>
  <si>
    <t>Охорона здоров'я</t>
  </si>
  <si>
    <t>Видатки не віднесені до основних груп</t>
  </si>
  <si>
    <t>Прогр.розвитку земельних відносин</t>
  </si>
  <si>
    <t>Цільові фонди</t>
  </si>
  <si>
    <t>Обслуговування боргу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</si>
  <si>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</si>
  <si>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</si>
  <si>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</si>
  <si>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</si>
  <si>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Рятування на водах (210110)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</si>
  <si>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</si>
  <si>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</si>
  <si>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</si>
  <si>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</si>
  <si>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</si>
  <si>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</si>
  <si>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</si>
  <si>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</si>
  <si>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</si>
  <si>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</si>
  <si>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</si>
  <si>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</si>
  <si>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Заходи запобігання і ліквідації НС (210105)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</si>
  <si>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</si>
  <si>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</si>
  <si>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</si>
  <si>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Міськ.прогр.підтримки громадського транспорту (170603)</t>
  </si>
  <si>
    <t>Назва галузі</t>
  </si>
  <si>
    <t>Субвенція районним, обласному та іншим бюджетам</t>
  </si>
  <si>
    <t>інші бюджети</t>
  </si>
  <si>
    <t>Молодіжне кредитування</t>
  </si>
  <si>
    <t>в т.ч. заробітна плата</t>
  </si>
  <si>
    <t>Теріторіальні центри</t>
  </si>
  <si>
    <t>Міськ.прогр.заходів щодо розроблення стратегічного плану розвитку територіальної громади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</si>
  <si>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</si>
  <si>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</si>
  <si>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</si>
  <si>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Програма сприяння розвитку підприємництва</t>
  </si>
  <si>
    <t>Інші видатки /бюджет розвитку/</t>
  </si>
  <si>
    <t>Ремонт доріг (крім бюджету розвитку)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</si>
  <si>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</si>
  <si>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</si>
  <si>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</si>
  <si>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</si>
  <si>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</si>
  <si>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Програма використання та охорони земель</t>
  </si>
  <si>
    <t>на фінансування амбулаторного лікування хворих нефрологічного профілю</t>
  </si>
  <si>
    <t>Субвенція обласному та державному бюджетам /бюджет розвитку/</t>
  </si>
  <si>
    <t>Міськ. прогр. управління місцевим боргом та забезпечення обігу муніципальних облігацій</t>
  </si>
  <si>
    <t>Програма зайнятості населення</t>
  </si>
  <si>
    <t>Програма підвищення енергоефективності та зменшення споживання енергоресурсів</t>
  </si>
  <si>
    <t>Програма забезпечення правопорядку в м. Черкаси (061007)</t>
  </si>
  <si>
    <t>Програма забезпечення правопорядку в м. Черкаси (250404)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</si>
  <si>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</si>
  <si>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</si>
  <si>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</si>
  <si>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</si>
  <si>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</si>
  <si>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</si>
  <si>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</si>
  <si>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</si>
  <si>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</si>
  <si>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</si>
  <si>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</si>
  <si>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</si>
  <si>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</si>
  <si>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</si>
  <si>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</si>
  <si>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</si>
  <si>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</si>
  <si>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</si>
  <si>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</si>
  <si>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</si>
  <si>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</si>
  <si>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</si>
  <si>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Програма розвитку персоналу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</si>
  <si>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</si>
  <si>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</si>
  <si>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</si>
  <si>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</si>
  <si>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Реверсна дотація</t>
  </si>
  <si>
    <t>План на рік, тис.грн.</t>
  </si>
  <si>
    <t>Відсоток виконання річного плану</t>
  </si>
  <si>
    <t>Відхилення від річного плану, тис.грн.</t>
  </si>
  <si>
    <t>в т.ч. за рахунок освітньої субвенції</t>
  </si>
  <si>
    <t>в т.ч. за рахунок медичної субвенції</t>
  </si>
  <si>
    <t>Дорожній фонд</t>
  </si>
  <si>
    <t>в т.ч. енергоносії</t>
  </si>
  <si>
    <t>Екологічний фонд</t>
  </si>
  <si>
    <t>Програма підтримки обороноздатності м. Черкаси</t>
  </si>
  <si>
    <t>Програма підтримки учасників антитерористичної операції</t>
  </si>
  <si>
    <t>Субвенція державному бьюджету на виконання програм соціально-економічного та культурного розвитку регіонів</t>
  </si>
  <si>
    <t>План на 4 місяці, тис.грн.</t>
  </si>
  <si>
    <t>Відсоток виконання плану 4-х місяців</t>
  </si>
  <si>
    <t>Відхилення від плану 4-х місяців, тис.грн.</t>
  </si>
  <si>
    <t>Аналіз використання коштів міського бюджету за 2015 рік станом на 22.04.2015 року</t>
  </si>
</sst>
</file>

<file path=xl/styles.xml><?xml version="1.0" encoding="utf-8"?>
<styleSheet xmlns="http://schemas.openxmlformats.org/spreadsheetml/2006/main">
  <numFmts count="2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"/>
    <numFmt numFmtId="174" formatCode="#,##0.0"/>
    <numFmt numFmtId="175" formatCode="#,##0.00000"/>
  </numFmts>
  <fonts count="61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i/>
      <sz val="14"/>
      <name val="Arial Cyr"/>
      <family val="0"/>
    </font>
    <font>
      <b/>
      <sz val="14"/>
      <color indexed="9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  <font>
      <sz val="14"/>
      <color indexed="9"/>
      <name val="Arial Cyr"/>
      <family val="0"/>
    </font>
    <font>
      <sz val="12"/>
      <name val="Arial Cyr"/>
      <family val="0"/>
    </font>
    <font>
      <sz val="16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/>
      <bottom/>
    </border>
    <border>
      <left style="medium"/>
      <right style="medium"/>
      <top style="medium"/>
      <bottom>
        <color indexed="63"/>
      </bottom>
    </border>
    <border>
      <left style="medium"/>
      <right/>
      <top/>
      <bottom>
        <color indexed="63"/>
      </bottom>
    </border>
    <border>
      <left style="medium"/>
      <right style="medium"/>
      <top/>
      <bottom>
        <color indexed="63"/>
      </bottom>
    </border>
    <border>
      <left style="medium"/>
      <right/>
      <top>
        <color indexed="63"/>
      </top>
      <bottom/>
    </border>
    <border>
      <left style="medium"/>
      <right style="medium"/>
      <top>
        <color indexed="63"/>
      </top>
      <bottom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36" fillId="7" borderId="1" applyNumberFormat="0" applyAlignment="0" applyProtection="0"/>
    <xf numFmtId="0" fontId="37" fillId="20" borderId="2" applyNumberFormat="0" applyAlignment="0" applyProtection="0"/>
    <xf numFmtId="0" fontId="3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1" borderId="7" applyNumberFormat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2" fillId="0" borderId="0">
      <alignment/>
      <protection/>
    </xf>
    <xf numFmtId="0" fontId="46" fillId="3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4" borderId="0" applyNumberFormat="0" applyBorder="0" applyAlignment="0" applyProtection="0"/>
  </cellStyleXfs>
  <cellXfs count="157">
    <xf numFmtId="0" fontId="0" fillId="0" borderId="0" xfId="0" applyAlignment="1">
      <alignment/>
    </xf>
    <xf numFmtId="173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73" fontId="4" fillId="24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73" fontId="6" fillId="0" borderId="0" xfId="0" applyNumberFormat="1" applyFont="1" applyAlignment="1">
      <alignment/>
    </xf>
    <xf numFmtId="173" fontId="4" fillId="0" borderId="10" xfId="0" applyNumberFormat="1" applyFont="1" applyFill="1" applyBorder="1" applyAlignment="1">
      <alignment/>
    </xf>
    <xf numFmtId="173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24" borderId="13" xfId="0" applyFont="1" applyFill="1" applyBorder="1" applyAlignment="1">
      <alignment wrapText="1"/>
    </xf>
    <xf numFmtId="173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173" fontId="4" fillId="0" borderId="15" xfId="0" applyNumberFormat="1" applyFont="1" applyFill="1" applyBorder="1" applyAlignment="1">
      <alignment/>
    </xf>
    <xf numFmtId="173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173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73" fontId="5" fillId="0" borderId="16" xfId="0" applyNumberFormat="1" applyFont="1" applyFill="1" applyBorder="1" applyAlignment="1">
      <alignment/>
    </xf>
    <xf numFmtId="173" fontId="5" fillId="24" borderId="11" xfId="0" applyNumberFormat="1" applyFont="1" applyFill="1" applyBorder="1" applyAlignment="1">
      <alignment/>
    </xf>
    <xf numFmtId="173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24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7" xfId="0" applyFont="1" applyFill="1" applyBorder="1" applyAlignment="1">
      <alignment wrapText="1"/>
    </xf>
    <xf numFmtId="0" fontId="5" fillId="24" borderId="17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73" fontId="3" fillId="0" borderId="10" xfId="0" applyNumberFormat="1" applyFont="1" applyFill="1" applyBorder="1" applyAlignment="1">
      <alignment horizontal="center"/>
    </xf>
    <xf numFmtId="173" fontId="4" fillId="24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2" fontId="4" fillId="24" borderId="11" xfId="0" applyNumberFormat="1" applyFont="1" applyFill="1" applyBorder="1" applyAlignment="1">
      <alignment/>
    </xf>
    <xf numFmtId="173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73" fontId="0" fillId="0" borderId="0" xfId="0" applyNumberFormat="1" applyFont="1" applyFill="1" applyBorder="1" applyAlignment="1">
      <alignment/>
    </xf>
    <xf numFmtId="173" fontId="5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wrapText="1"/>
    </xf>
    <xf numFmtId="174" fontId="3" fillId="0" borderId="12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4" fillId="24" borderId="13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/>
    </xf>
    <xf numFmtId="174" fontId="4" fillId="24" borderId="11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 horizontal="right"/>
    </xf>
    <xf numFmtId="174" fontId="4" fillId="24" borderId="11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wrapText="1"/>
    </xf>
    <xf numFmtId="174" fontId="5" fillId="0" borderId="12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/>
    </xf>
    <xf numFmtId="174" fontId="5" fillId="24" borderId="13" xfId="0" applyNumberFormat="1" applyFont="1" applyFill="1" applyBorder="1" applyAlignment="1">
      <alignment wrapText="1"/>
    </xf>
    <xf numFmtId="174" fontId="5" fillId="0" borderId="13" xfId="0" applyNumberFormat="1" applyFont="1" applyFill="1" applyBorder="1" applyAlignment="1">
      <alignment wrapText="1"/>
    </xf>
    <xf numFmtId="174" fontId="4" fillId="0" borderId="13" xfId="0" applyNumberFormat="1" applyFont="1" applyFill="1" applyBorder="1" applyAlignment="1">
      <alignment/>
    </xf>
    <xf numFmtId="174" fontId="4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horizontal="left" wrapText="1"/>
    </xf>
    <xf numFmtId="174" fontId="4" fillId="0" borderId="12" xfId="0" applyNumberFormat="1" applyFont="1" applyFill="1" applyBorder="1" applyAlignment="1">
      <alignment/>
    </xf>
    <xf numFmtId="174" fontId="4" fillId="0" borderId="10" xfId="0" applyNumberFormat="1" applyFont="1" applyFill="1" applyBorder="1" applyAlignment="1">
      <alignment/>
    </xf>
    <xf numFmtId="174" fontId="5" fillId="0" borderId="13" xfId="0" applyNumberFormat="1" applyFont="1" applyFill="1" applyBorder="1" applyAlignment="1">
      <alignment/>
    </xf>
    <xf numFmtId="174" fontId="5" fillId="0" borderId="11" xfId="0" applyNumberFormat="1" applyFont="1" applyFill="1" applyBorder="1" applyAlignment="1">
      <alignment/>
    </xf>
    <xf numFmtId="174" fontId="7" fillId="0" borderId="12" xfId="0" applyNumberFormat="1" applyFont="1" applyFill="1" applyBorder="1" applyAlignment="1">
      <alignment wrapText="1"/>
    </xf>
    <xf numFmtId="174" fontId="5" fillId="0" borderId="17" xfId="0" applyNumberFormat="1" applyFont="1" applyFill="1" applyBorder="1" applyAlignment="1">
      <alignment wrapText="1"/>
    </xf>
    <xf numFmtId="174" fontId="4" fillId="0" borderId="17" xfId="0" applyNumberFormat="1" applyFont="1" applyFill="1" applyBorder="1" applyAlignment="1">
      <alignment/>
    </xf>
    <xf numFmtId="174" fontId="4" fillId="0" borderId="14" xfId="0" applyNumberFormat="1" applyFont="1" applyFill="1" applyBorder="1" applyAlignment="1">
      <alignment/>
    </xf>
    <xf numFmtId="174" fontId="5" fillId="24" borderId="17" xfId="0" applyNumberFormat="1" applyFont="1" applyFill="1" applyBorder="1" applyAlignment="1">
      <alignment wrapText="1"/>
    </xf>
    <xf numFmtId="174" fontId="4" fillId="24" borderId="17" xfId="0" applyNumberFormat="1" applyFont="1" applyFill="1" applyBorder="1" applyAlignment="1">
      <alignment/>
    </xf>
    <xf numFmtId="174" fontId="4" fillId="24" borderId="14" xfId="0" applyNumberFormat="1" applyFont="1" applyFill="1" applyBorder="1" applyAlignment="1">
      <alignment/>
    </xf>
    <xf numFmtId="174" fontId="5" fillId="0" borderId="14" xfId="0" applyNumberFormat="1" applyFont="1" applyFill="1" applyBorder="1" applyAlignment="1">
      <alignment wrapText="1"/>
    </xf>
    <xf numFmtId="174" fontId="4" fillId="0" borderId="15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 wrapText="1"/>
    </xf>
    <xf numFmtId="174" fontId="3" fillId="0" borderId="10" xfId="0" applyNumberFormat="1" applyFont="1" applyFill="1" applyBorder="1" applyAlignment="1">
      <alignment wrapText="1"/>
    </xf>
    <xf numFmtId="174" fontId="3" fillId="0" borderId="15" xfId="0" applyNumberFormat="1" applyFont="1" applyFill="1" applyBorder="1" applyAlignment="1">
      <alignment/>
    </xf>
    <xf numFmtId="174" fontId="5" fillId="0" borderId="15" xfId="0" applyNumberFormat="1" applyFont="1" applyFill="1" applyBorder="1" applyAlignment="1">
      <alignment/>
    </xf>
    <xf numFmtId="174" fontId="5" fillId="0" borderId="16" xfId="0" applyNumberFormat="1" applyFont="1" applyFill="1" applyBorder="1" applyAlignment="1">
      <alignment/>
    </xf>
    <xf numFmtId="174" fontId="0" fillId="0" borderId="13" xfId="0" applyNumberFormat="1" applyFont="1" applyFill="1" applyBorder="1" applyAlignment="1">
      <alignment wrapText="1"/>
    </xf>
    <xf numFmtId="174" fontId="0" fillId="0" borderId="11" xfId="0" applyNumberFormat="1" applyFont="1" applyFill="1" applyBorder="1" applyAlignment="1">
      <alignment/>
    </xf>
    <xf numFmtId="174" fontId="4" fillId="0" borderId="17" xfId="0" applyNumberFormat="1" applyFont="1" applyFill="1" applyBorder="1" applyAlignment="1">
      <alignment wrapText="1"/>
    </xf>
    <xf numFmtId="174" fontId="4" fillId="0" borderId="12" xfId="0" applyNumberFormat="1" applyFont="1" applyFill="1" applyBorder="1" applyAlignment="1">
      <alignment wrapText="1"/>
    </xf>
    <xf numFmtId="174" fontId="4" fillId="0" borderId="18" xfId="0" applyNumberFormat="1" applyFont="1" applyFill="1" applyBorder="1" applyAlignment="1">
      <alignment/>
    </xf>
    <xf numFmtId="174" fontId="5" fillId="24" borderId="11" xfId="0" applyNumberFormat="1" applyFont="1" applyFill="1" applyBorder="1" applyAlignment="1">
      <alignment/>
    </xf>
    <xf numFmtId="0" fontId="3" fillId="0" borderId="14" xfId="0" applyFont="1" applyFill="1" applyBorder="1" applyAlignment="1">
      <alignment horizontal="left" wrapText="1"/>
    </xf>
    <xf numFmtId="0" fontId="5" fillId="24" borderId="16" xfId="0" applyFont="1" applyFill="1" applyBorder="1" applyAlignment="1">
      <alignment wrapText="1"/>
    </xf>
    <xf numFmtId="174" fontId="4" fillId="24" borderId="16" xfId="0" applyNumberFormat="1" applyFont="1" applyFill="1" applyBorder="1" applyAlignment="1">
      <alignment/>
    </xf>
    <xf numFmtId="173" fontId="4" fillId="24" borderId="16" xfId="0" applyNumberFormat="1" applyFont="1" applyFill="1" applyBorder="1" applyAlignment="1">
      <alignment/>
    </xf>
    <xf numFmtId="173" fontId="3" fillId="0" borderId="14" xfId="0" applyNumberFormat="1" applyFont="1" applyFill="1" applyBorder="1" applyAlignment="1">
      <alignment/>
    </xf>
    <xf numFmtId="173" fontId="3" fillId="0" borderId="16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wrapText="1"/>
    </xf>
    <xf numFmtId="174" fontId="3" fillId="0" borderId="14" xfId="0" applyNumberFormat="1" applyFont="1" applyFill="1" applyBorder="1" applyAlignment="1">
      <alignment/>
    </xf>
    <xf numFmtId="174" fontId="3" fillId="0" borderId="16" xfId="0" applyNumberFormat="1" applyFont="1" applyFill="1" applyBorder="1" applyAlignment="1">
      <alignment wrapText="1"/>
    </xf>
    <xf numFmtId="174" fontId="3" fillId="0" borderId="14" xfId="0" applyNumberFormat="1" applyFont="1" applyFill="1" applyBorder="1" applyAlignment="1">
      <alignment wrapText="1"/>
    </xf>
    <xf numFmtId="172" fontId="0" fillId="0" borderId="0" xfId="0" applyNumberFormat="1" applyFont="1" applyFill="1" applyBorder="1" applyAlignment="1">
      <alignment/>
    </xf>
    <xf numFmtId="175" fontId="12" fillId="0" borderId="0" xfId="0" applyNumberFormat="1" applyFont="1" applyFill="1" applyBorder="1" applyAlignment="1">
      <alignment/>
    </xf>
    <xf numFmtId="0" fontId="0" fillId="17" borderId="0" xfId="0" applyFont="1" applyFill="1" applyAlignment="1">
      <alignment/>
    </xf>
    <xf numFmtId="174" fontId="5" fillId="24" borderId="13" xfId="0" applyNumberFormat="1" applyFont="1" applyFill="1" applyBorder="1" applyAlignment="1">
      <alignment/>
    </xf>
    <xf numFmtId="173" fontId="3" fillId="0" borderId="10" xfId="0" applyNumberFormat="1" applyFont="1" applyFill="1" applyBorder="1" applyAlignment="1">
      <alignment horizontal="right"/>
    </xf>
    <xf numFmtId="174" fontId="13" fillId="0" borderId="12" xfId="0" applyNumberFormat="1" applyFont="1" applyFill="1" applyBorder="1" applyAlignment="1">
      <alignment/>
    </xf>
    <xf numFmtId="173" fontId="13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left" wrapText="1" indent="4"/>
    </xf>
    <xf numFmtId="174" fontId="13" fillId="0" borderId="12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 vertical="center" wrapText="1"/>
    </xf>
    <xf numFmtId="173" fontId="14" fillId="24" borderId="11" xfId="0" applyNumberFormat="1" applyFont="1" applyFill="1" applyBorder="1" applyAlignment="1">
      <alignment/>
    </xf>
    <xf numFmtId="173" fontId="4" fillId="25" borderId="10" xfId="0" applyNumberFormat="1" applyFont="1" applyFill="1" applyBorder="1" applyAlignment="1">
      <alignment/>
    </xf>
    <xf numFmtId="0" fontId="0" fillId="0" borderId="0" xfId="52" applyFont="1" applyBorder="1" applyAlignment="1" applyProtection="1">
      <alignment vertical="center" wrapText="1"/>
      <protection/>
    </xf>
    <xf numFmtId="174" fontId="0" fillId="0" borderId="0" xfId="52" applyNumberFormat="1" applyFont="1" applyBorder="1" applyAlignment="1" applyProtection="1">
      <alignment vertical="center" wrapText="1"/>
      <protection/>
    </xf>
    <xf numFmtId="0" fontId="4" fillId="0" borderId="0" xfId="0" applyFont="1" applyFill="1" applyAlignment="1">
      <alignment/>
    </xf>
    <xf numFmtId="173" fontId="58" fillId="0" borderId="10" xfId="0" applyNumberFormat="1" applyFont="1" applyFill="1" applyBorder="1" applyAlignment="1">
      <alignment/>
    </xf>
    <xf numFmtId="173" fontId="14" fillId="0" borderId="10" xfId="0" applyNumberFormat="1" applyFont="1" applyFill="1" applyBorder="1" applyAlignment="1">
      <alignment/>
    </xf>
    <xf numFmtId="0" fontId="13" fillId="0" borderId="19" xfId="0" applyFont="1" applyFill="1" applyBorder="1" applyAlignment="1">
      <alignment wrapText="1"/>
    </xf>
    <xf numFmtId="174" fontId="13" fillId="0" borderId="19" xfId="0" applyNumberFormat="1" applyFont="1" applyFill="1" applyBorder="1" applyAlignment="1">
      <alignment wrapText="1"/>
    </xf>
    <xf numFmtId="174" fontId="13" fillId="0" borderId="19" xfId="0" applyNumberFormat="1" applyFont="1" applyFill="1" applyBorder="1" applyAlignment="1">
      <alignment/>
    </xf>
    <xf numFmtId="174" fontId="13" fillId="0" borderId="20" xfId="0" applyNumberFormat="1" applyFont="1" applyFill="1" applyBorder="1" applyAlignment="1">
      <alignment/>
    </xf>
    <xf numFmtId="173" fontId="13" fillId="0" borderId="20" xfId="0" applyNumberFormat="1" applyFont="1" applyFill="1" applyBorder="1" applyAlignment="1">
      <alignment/>
    </xf>
    <xf numFmtId="0" fontId="5" fillId="0" borderId="21" xfId="0" applyFont="1" applyFill="1" applyBorder="1" applyAlignment="1">
      <alignment wrapText="1"/>
    </xf>
    <xf numFmtId="173" fontId="4" fillId="24" borderId="22" xfId="0" applyNumberFormat="1" applyFont="1" applyFill="1" applyBorder="1" applyAlignment="1">
      <alignment/>
    </xf>
    <xf numFmtId="0" fontId="3" fillId="0" borderId="23" xfId="0" applyFont="1" applyFill="1" applyBorder="1" applyAlignment="1">
      <alignment wrapText="1"/>
    </xf>
    <xf numFmtId="174" fontId="3" fillId="0" borderId="23" xfId="0" applyNumberFormat="1" applyFont="1" applyFill="1" applyBorder="1" applyAlignment="1">
      <alignment/>
    </xf>
    <xf numFmtId="173" fontId="3" fillId="0" borderId="24" xfId="0" applyNumberFormat="1" applyFont="1" applyFill="1" applyBorder="1" applyAlignment="1">
      <alignment/>
    </xf>
    <xf numFmtId="0" fontId="5" fillId="0" borderId="25" xfId="0" applyFont="1" applyFill="1" applyBorder="1" applyAlignment="1">
      <alignment wrapText="1"/>
    </xf>
    <xf numFmtId="174" fontId="5" fillId="0" borderId="25" xfId="0" applyNumberFormat="1" applyFont="1" applyFill="1" applyBorder="1" applyAlignment="1">
      <alignment wrapText="1"/>
    </xf>
    <xf numFmtId="174" fontId="4" fillId="0" borderId="25" xfId="0" applyNumberFormat="1" applyFont="1" applyFill="1" applyBorder="1" applyAlignment="1">
      <alignment/>
    </xf>
    <xf numFmtId="174" fontId="4" fillId="0" borderId="26" xfId="0" applyNumberFormat="1" applyFont="1" applyFill="1" applyBorder="1" applyAlignment="1">
      <alignment/>
    </xf>
    <xf numFmtId="173" fontId="4" fillId="0" borderId="26" xfId="0" applyNumberFormat="1" applyFont="1" applyFill="1" applyBorder="1" applyAlignment="1">
      <alignment/>
    </xf>
    <xf numFmtId="173" fontId="4" fillId="24" borderId="27" xfId="0" applyNumberFormat="1" applyFont="1" applyFill="1" applyBorder="1" applyAlignment="1">
      <alignment/>
    </xf>
    <xf numFmtId="0" fontId="5" fillId="24" borderId="28" xfId="0" applyFont="1" applyFill="1" applyBorder="1" applyAlignment="1">
      <alignment wrapText="1"/>
    </xf>
    <xf numFmtId="0" fontId="3" fillId="0" borderId="29" xfId="0" applyFont="1" applyFill="1" applyBorder="1" applyAlignment="1">
      <alignment wrapText="1"/>
    </xf>
    <xf numFmtId="173" fontId="3" fillId="0" borderId="30" xfId="0" applyNumberFormat="1" applyFont="1" applyFill="1" applyBorder="1" applyAlignment="1">
      <alignment/>
    </xf>
    <xf numFmtId="173" fontId="4" fillId="24" borderId="31" xfId="0" applyNumberFormat="1" applyFont="1" applyFill="1" applyBorder="1" applyAlignment="1">
      <alignment/>
    </xf>
    <xf numFmtId="173" fontId="4" fillId="24" borderId="32" xfId="0" applyNumberFormat="1" applyFont="1" applyFill="1" applyBorder="1" applyAlignment="1">
      <alignment/>
    </xf>
    <xf numFmtId="174" fontId="5" fillId="24" borderId="28" xfId="0" applyNumberFormat="1" applyFont="1" applyFill="1" applyBorder="1" applyAlignment="1">
      <alignment wrapText="1"/>
    </xf>
    <xf numFmtId="174" fontId="4" fillId="24" borderId="32" xfId="0" applyNumberFormat="1" applyFont="1" applyFill="1" applyBorder="1" applyAlignment="1">
      <alignment/>
    </xf>
    <xf numFmtId="174" fontId="4" fillId="24" borderId="27" xfId="0" applyNumberFormat="1" applyFont="1" applyFill="1" applyBorder="1" applyAlignment="1">
      <alignment horizontal="right"/>
    </xf>
    <xf numFmtId="174" fontId="3" fillId="0" borderId="29" xfId="0" applyNumberFormat="1" applyFont="1" applyFill="1" applyBorder="1" applyAlignment="1">
      <alignment wrapText="1"/>
    </xf>
    <xf numFmtId="174" fontId="3" fillId="0" borderId="33" xfId="0" applyNumberFormat="1" applyFont="1" applyFill="1" applyBorder="1" applyAlignment="1">
      <alignment horizontal="right"/>
    </xf>
    <xf numFmtId="174" fontId="3" fillId="0" borderId="34" xfId="0" applyNumberFormat="1" applyFont="1" applyFill="1" applyBorder="1" applyAlignment="1">
      <alignment/>
    </xf>
    <xf numFmtId="173" fontId="3" fillId="0" borderId="29" xfId="0" applyNumberFormat="1" applyFont="1" applyFill="1" applyBorder="1" applyAlignment="1">
      <alignment/>
    </xf>
    <xf numFmtId="173" fontId="3" fillId="0" borderId="35" xfId="0" applyNumberFormat="1" applyFont="1" applyFill="1" applyBorder="1" applyAlignment="1">
      <alignment/>
    </xf>
    <xf numFmtId="173" fontId="3" fillId="0" borderId="33" xfId="0" applyNumberFormat="1" applyFont="1" applyFill="1" applyBorder="1" applyAlignment="1">
      <alignment/>
    </xf>
    <xf numFmtId="173" fontId="3" fillId="25" borderId="1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">
    <dxf>
      <fill>
        <patternFill patternType="solid"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505"/>
          <c:w val="0.85825"/>
          <c:h val="0.62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фінансування'!$A$89:$A$93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фінансування'!$C$89:$C$93</c:f>
              <c:numCache>
                <c:ptCount val="4"/>
                <c:pt idx="0">
                  <c:v>47925.9</c:v>
                </c:pt>
                <c:pt idx="1">
                  <c:v>39638</c:v>
                </c:pt>
                <c:pt idx="2">
                  <c:v>2406.5</c:v>
                </c:pt>
                <c:pt idx="3">
                  <c:v>5881.4000000000015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фінансування'!$A$89:$A$93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фінансування'!$D$89:$D$93</c:f>
              <c:numCache>
                <c:ptCount val="4"/>
                <c:pt idx="0">
                  <c:v>4544.299999999999</c:v>
                </c:pt>
                <c:pt idx="1">
                  <c:v>4024.9000000000005</c:v>
                </c:pt>
                <c:pt idx="2">
                  <c:v>21.3</c:v>
                </c:pt>
                <c:pt idx="3">
                  <c:v>498.0999999999987</c:v>
                </c:pt>
              </c:numCache>
            </c:numRef>
          </c:val>
          <c:shape val="box"/>
        </c:ser>
        <c:shape val="box"/>
        <c:axId val="961989"/>
        <c:axId val="8657902"/>
      </c:bar3DChart>
      <c:catAx>
        <c:axId val="9619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8657902"/>
        <c:crosses val="autoZero"/>
        <c:auto val="1"/>
        <c:lblOffset val="100"/>
        <c:tickLblSkip val="1"/>
        <c:noMultiLvlLbl val="0"/>
      </c:catAx>
      <c:valAx>
        <c:axId val="865790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6198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15775"/>
          <c:w val="0.84375"/>
          <c:h val="0.65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336144.8</c:v>
                </c:pt>
                <c:pt idx="1">
                  <c:v>179936.4</c:v>
                </c:pt>
                <c:pt idx="2">
                  <c:v>251964.7</c:v>
                </c:pt>
                <c:pt idx="3">
                  <c:v>45.2</c:v>
                </c:pt>
                <c:pt idx="4">
                  <c:v>21498.1</c:v>
                </c:pt>
                <c:pt idx="5">
                  <c:v>59404.7</c:v>
                </c:pt>
                <c:pt idx="6">
                  <c:v>286.2</c:v>
                </c:pt>
                <c:pt idx="7">
                  <c:v>2945.899999999984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31509.90000000001</c:v>
                </c:pt>
                <c:pt idx="1">
                  <c:v>17312.899999999998</c:v>
                </c:pt>
                <c:pt idx="2">
                  <c:v>27446.600000000002</c:v>
                </c:pt>
                <c:pt idx="4">
                  <c:v>2307.6000000000004</c:v>
                </c:pt>
                <c:pt idx="5">
                  <c:v>1661</c:v>
                </c:pt>
                <c:pt idx="6">
                  <c:v>20.299999999999997</c:v>
                </c:pt>
                <c:pt idx="7">
                  <c:v>74.40000000000619</c:v>
                </c:pt>
              </c:numCache>
            </c:numRef>
          </c:val>
          <c:shape val="box"/>
        </c:ser>
        <c:shape val="box"/>
        <c:axId val="10812255"/>
        <c:axId val="30201432"/>
      </c:bar3DChart>
      <c:catAx>
        <c:axId val="108122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0201432"/>
        <c:crosses val="autoZero"/>
        <c:auto val="1"/>
        <c:lblOffset val="100"/>
        <c:tickLblSkip val="1"/>
        <c:noMultiLvlLbl val="0"/>
      </c:catAx>
      <c:valAx>
        <c:axId val="302014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81225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5725"/>
          <c:w val="0.92925"/>
          <c:h val="0.65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8"/>
                <c:pt idx="0">
                  <c:v>225678.2</c:v>
                </c:pt>
                <c:pt idx="1">
                  <c:v>186519.2</c:v>
                </c:pt>
                <c:pt idx="2">
                  <c:v>169195.9</c:v>
                </c:pt>
                <c:pt idx="3">
                  <c:v>12491.1</c:v>
                </c:pt>
                <c:pt idx="4">
                  <c:v>3253.3</c:v>
                </c:pt>
                <c:pt idx="5">
                  <c:v>24676.2</c:v>
                </c:pt>
                <c:pt idx="6">
                  <c:v>1528.1</c:v>
                </c:pt>
                <c:pt idx="7">
                  <c:v>14533.600000000015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8"/>
                <c:pt idx="0">
                  <c:v>20724.399999999998</c:v>
                </c:pt>
                <c:pt idx="1">
                  <c:v>20724.4</c:v>
                </c:pt>
                <c:pt idx="2">
                  <c:v>17986.199999999997</c:v>
                </c:pt>
                <c:pt idx="3">
                  <c:v>106.1</c:v>
                </c:pt>
                <c:pt idx="4">
                  <c:v>220</c:v>
                </c:pt>
                <c:pt idx="5">
                  <c:v>1456</c:v>
                </c:pt>
                <c:pt idx="6">
                  <c:v>111</c:v>
                </c:pt>
                <c:pt idx="7">
                  <c:v>845.1000000000008</c:v>
                </c:pt>
              </c:numCache>
            </c:numRef>
          </c:val>
          <c:shape val="box"/>
        </c:ser>
        <c:shape val="box"/>
        <c:axId val="3377433"/>
        <c:axId val="30396898"/>
      </c:bar3DChart>
      <c:catAx>
        <c:axId val="33774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0396898"/>
        <c:crosses val="autoZero"/>
        <c:auto val="1"/>
        <c:lblOffset val="100"/>
        <c:tickLblSkip val="1"/>
        <c:noMultiLvlLbl val="0"/>
      </c:catAx>
      <c:valAx>
        <c:axId val="3039689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7743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475"/>
          <c:y val="0.9215"/>
          <c:w val="0.269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55"/>
          <c:w val="0.87025"/>
          <c:h val="0.592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6"/>
                <c:pt idx="0">
                  <c:v>41831.7</c:v>
                </c:pt>
                <c:pt idx="1">
                  <c:v>29626.4</c:v>
                </c:pt>
                <c:pt idx="2">
                  <c:v>2423.5</c:v>
                </c:pt>
                <c:pt idx="3">
                  <c:v>493.5</c:v>
                </c:pt>
                <c:pt idx="4">
                  <c:v>47.2</c:v>
                </c:pt>
                <c:pt idx="5">
                  <c:v>9241.099999999995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6"/>
                <c:pt idx="0">
                  <c:v>4735.999999999999</c:v>
                </c:pt>
                <c:pt idx="1">
                  <c:v>3465.9000000000005</c:v>
                </c:pt>
                <c:pt idx="2">
                  <c:v>229.50000000000003</c:v>
                </c:pt>
                <c:pt idx="3">
                  <c:v>43.300000000000004</c:v>
                </c:pt>
                <c:pt idx="4">
                  <c:v>6.8</c:v>
                </c:pt>
                <c:pt idx="5">
                  <c:v>990.4999999999986</c:v>
                </c:pt>
              </c:numCache>
            </c:numRef>
          </c:val>
          <c:shape val="box"/>
        </c:ser>
        <c:shape val="box"/>
        <c:axId val="5136627"/>
        <c:axId val="46229644"/>
      </c:bar3DChart>
      <c:catAx>
        <c:axId val="51366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6229644"/>
        <c:crosses val="autoZero"/>
        <c:auto val="1"/>
        <c:lblOffset val="100"/>
        <c:tickLblSkip val="1"/>
        <c:noMultiLvlLbl val="0"/>
      </c:catAx>
      <c:valAx>
        <c:axId val="4622964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3662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725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55"/>
          <c:w val="0.86375"/>
          <c:h val="0.634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фінансування'!$A$51:$A$56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фінансування'!$C$51:$C$56</c:f>
              <c:numCache>
                <c:ptCount val="6"/>
                <c:pt idx="0">
                  <c:v>13881</c:v>
                </c:pt>
                <c:pt idx="1">
                  <c:v>8729.1</c:v>
                </c:pt>
                <c:pt idx="2">
                  <c:v>10.9</c:v>
                </c:pt>
                <c:pt idx="3">
                  <c:v>189.7</c:v>
                </c:pt>
                <c:pt idx="4">
                  <c:v>709.9</c:v>
                </c:pt>
                <c:pt idx="5">
                  <c:v>4241.400000000001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фінансування'!$A$51:$A$56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фінансування'!$D$51:$D$56</c:f>
              <c:numCache>
                <c:ptCount val="6"/>
                <c:pt idx="0">
                  <c:v>1442.7</c:v>
                </c:pt>
                <c:pt idx="1">
                  <c:v>922.3999999999999</c:v>
                </c:pt>
                <c:pt idx="3">
                  <c:v>1.7</c:v>
                </c:pt>
                <c:pt idx="4">
                  <c:v>105.69999999999999</c:v>
                </c:pt>
                <c:pt idx="5">
                  <c:v>412.9000000000002</c:v>
                </c:pt>
              </c:numCache>
            </c:numRef>
          </c:val>
          <c:shape val="box"/>
        </c:ser>
        <c:shape val="box"/>
        <c:axId val="13413613"/>
        <c:axId val="53613654"/>
      </c:bar3DChart>
      <c:catAx>
        <c:axId val="134136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3613654"/>
        <c:crosses val="autoZero"/>
        <c:auto val="1"/>
        <c:lblOffset val="100"/>
        <c:tickLblSkip val="2"/>
        <c:noMultiLvlLbl val="0"/>
      </c:catAx>
      <c:valAx>
        <c:axId val="5361365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41361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5425"/>
          <c:w val="0.8775"/>
          <c:h val="0.653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фінансування'!$A$58:$A$63</c:f>
              <c:strCache>
                <c:ptCount val="5"/>
                <c:pt idx="0">
                  <c:v>Молодь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Трансферти населенню</c:v>
                </c:pt>
                <c:pt idx="4">
                  <c:v>інші</c:v>
                </c:pt>
              </c:strCache>
            </c:strRef>
          </c:cat>
          <c:val>
            <c:numRef>
              <c:f>'аналіз фінансування'!$C$58:$C$63</c:f>
              <c:numCache>
                <c:ptCount val="5"/>
                <c:pt idx="0">
                  <c:v>3033.3</c:v>
                </c:pt>
                <c:pt idx="1">
                  <c:v>1426.1</c:v>
                </c:pt>
                <c:pt idx="2">
                  <c:v>420.8</c:v>
                </c:pt>
                <c:pt idx="3">
                  <c:v>728.9</c:v>
                </c:pt>
                <c:pt idx="4">
                  <c:v>457.50000000000034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фінансування'!$A$58:$A$63</c:f>
              <c:strCache>
                <c:ptCount val="5"/>
                <c:pt idx="0">
                  <c:v>Молодь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Трансферти населенню</c:v>
                </c:pt>
                <c:pt idx="4">
                  <c:v>інші</c:v>
                </c:pt>
              </c:strCache>
            </c:strRef>
          </c:cat>
          <c:val>
            <c:numRef>
              <c:f>'аналіз фінансування'!$D$58:$D$63</c:f>
              <c:numCache>
                <c:ptCount val="5"/>
                <c:pt idx="0">
                  <c:v>226.59999999999997</c:v>
                </c:pt>
                <c:pt idx="1">
                  <c:v>140.89999999999998</c:v>
                </c:pt>
                <c:pt idx="2">
                  <c:v>57.4</c:v>
                </c:pt>
                <c:pt idx="4">
                  <c:v>28.29999999999999</c:v>
                </c:pt>
              </c:numCache>
            </c:numRef>
          </c:val>
          <c:shape val="box"/>
        </c:ser>
        <c:shape val="box"/>
        <c:axId val="12760839"/>
        <c:axId val="47738688"/>
      </c:bar3DChart>
      <c:catAx>
        <c:axId val="127608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7738688"/>
        <c:crosses val="autoZero"/>
        <c:auto val="1"/>
        <c:lblOffset val="100"/>
        <c:tickLblSkip val="1"/>
        <c:noMultiLvlLbl val="0"/>
      </c:catAx>
      <c:valAx>
        <c:axId val="477386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76083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3"/>
          <c:y val="0.920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875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495"/>
          <c:w val="0.8575"/>
          <c:h val="0.66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фінансування'!$A$94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фінансування'!$C$94</c:f>
              <c:numCache>
                <c:ptCount val="1"/>
                <c:pt idx="0">
                  <c:v>48638.3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фінансування'!$A$94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фінансування'!$D$94</c:f>
              <c:numCache>
                <c:ptCount val="1"/>
                <c:pt idx="0">
                  <c:v>6872.5</c:v>
                </c:pt>
              </c:numCache>
            </c:numRef>
          </c:val>
          <c:shape val="box"/>
        </c:ser>
        <c:shape val="box"/>
        <c:axId val="26995009"/>
        <c:axId val="41628490"/>
      </c:bar3DChart>
      <c:catAx>
        <c:axId val="269950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1628490"/>
        <c:crosses val="autoZero"/>
        <c:auto val="1"/>
        <c:lblOffset val="100"/>
        <c:tickLblSkip val="1"/>
        <c:noMultiLvlLbl val="0"/>
      </c:catAx>
      <c:valAx>
        <c:axId val="4162849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99500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7"/>
          <c:w val="0.851"/>
          <c:h val="0.58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фінансування'!$A$58,'аналіз фінансування'!$A$89,'аналіз фінансування'!$A$94)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фінансування'!$C$58,'аналіз фінансування'!$C$89,'аналіз фінансування'!$C$94)</c:f>
              <c:numCache>
                <c:ptCount val="7"/>
                <c:pt idx="0">
                  <c:v>336144.8</c:v>
                </c:pt>
                <c:pt idx="1">
                  <c:v>225678.2</c:v>
                </c:pt>
                <c:pt idx="2">
                  <c:v>41831.7</c:v>
                </c:pt>
                <c:pt idx="3">
                  <c:v>13881</c:v>
                </c:pt>
                <c:pt idx="4">
                  <c:v>3033.3</c:v>
                </c:pt>
                <c:pt idx="5">
                  <c:v>47925.9</c:v>
                </c:pt>
                <c:pt idx="6">
                  <c:v>48638.3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фінансування'!$A$58,'аналіз фінансування'!$A$89,'аналіз фінансування'!$A$94)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фінансування'!$D$58,'аналіз фінансування'!$D$89,'аналіз фінансування'!$D$94)</c:f>
              <c:numCache>
                <c:ptCount val="7"/>
                <c:pt idx="0">
                  <c:v>31509.90000000001</c:v>
                </c:pt>
                <c:pt idx="1">
                  <c:v>20724.399999999998</c:v>
                </c:pt>
                <c:pt idx="2">
                  <c:v>4735.999999999999</c:v>
                </c:pt>
                <c:pt idx="3">
                  <c:v>1442.7</c:v>
                </c:pt>
                <c:pt idx="4">
                  <c:v>226.59999999999997</c:v>
                </c:pt>
                <c:pt idx="5">
                  <c:v>4544.299999999999</c:v>
                </c:pt>
                <c:pt idx="6">
                  <c:v>6872.5</c:v>
                </c:pt>
              </c:numCache>
            </c:numRef>
          </c:val>
          <c:shape val="box"/>
        </c:ser>
        <c:shape val="box"/>
        <c:axId val="39112091"/>
        <c:axId val="16464500"/>
      </c:bar3DChart>
      <c:catAx>
        <c:axId val="391120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6464500"/>
        <c:crosses val="autoZero"/>
        <c:auto val="1"/>
        <c:lblOffset val="100"/>
        <c:tickLblSkip val="1"/>
        <c:noMultiLvlLbl val="0"/>
      </c:catAx>
      <c:valAx>
        <c:axId val="164645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11209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5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4"/>
          <c:y val="-0.001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1505"/>
          <c:w val="0.84125"/>
          <c:h val="0.656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фінансування'!$A$145:$A$150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фінансування'!$C$145:$C$150</c:f>
              <c:numCache>
                <c:ptCount val="6"/>
                <c:pt idx="0">
                  <c:v>507335.6</c:v>
                </c:pt>
                <c:pt idx="1">
                  <c:v>96283.59999999999</c:v>
                </c:pt>
                <c:pt idx="2">
                  <c:v>25001.3</c:v>
                </c:pt>
                <c:pt idx="3">
                  <c:v>7627.299999999999</c:v>
                </c:pt>
                <c:pt idx="4">
                  <c:v>12548.400000000001</c:v>
                </c:pt>
                <c:pt idx="5">
                  <c:v>241682.10000000012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фінансування'!$A$145:$A$150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фінансування'!$D$145:$D$150</c:f>
              <c:numCache>
                <c:ptCount val="6"/>
                <c:pt idx="0">
                  <c:v>54704.100000000006</c:v>
                </c:pt>
                <c:pt idx="1">
                  <c:v>4329.700000000001</c:v>
                </c:pt>
                <c:pt idx="2">
                  <c:v>2534.1000000000004</c:v>
                </c:pt>
                <c:pt idx="3">
                  <c:v>580.0999999999999</c:v>
                </c:pt>
                <c:pt idx="4">
                  <c:v>106.1</c:v>
                </c:pt>
                <c:pt idx="5">
                  <c:v>14138.399999999992</c:v>
                </c:pt>
              </c:numCache>
            </c:numRef>
          </c:val>
          <c:shape val="box"/>
        </c:ser>
        <c:shape val="box"/>
        <c:axId val="13962773"/>
        <c:axId val="58556094"/>
      </c:bar3DChart>
      <c:catAx>
        <c:axId val="139627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8556094"/>
        <c:crosses val="autoZero"/>
        <c:auto val="1"/>
        <c:lblOffset val="100"/>
        <c:tickLblSkip val="1"/>
        <c:noMultiLvlLbl val="0"/>
      </c:catAx>
      <c:valAx>
        <c:axId val="5855609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96277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05"/>
          <c:y val="0.914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0</xdr:rowOff>
    </xdr:from>
    <xdr:to>
      <xdr:col>14</xdr:col>
      <xdr:colOff>514350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17145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158240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85725</xdr:rowOff>
    </xdr:from>
    <xdr:to>
      <xdr:col>15</xdr:col>
      <xdr:colOff>9525</xdr:colOff>
      <xdr:row>33</xdr:row>
      <xdr:rowOff>0</xdr:rowOff>
    </xdr:to>
    <xdr:graphicFrame>
      <xdr:nvGraphicFramePr>
        <xdr:cNvPr id="1" name="Диаграмма 1"/>
        <xdr:cNvGraphicFramePr/>
      </xdr:nvGraphicFramePr>
      <xdr:xfrm>
        <a:off x="66675" y="85725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0"/>
  <sheetViews>
    <sheetView tabSelected="1" view="pageBreakPreview" zoomScale="80" zoomScaleNormal="75" zoomScaleSheetLayoutView="80" zoomScalePageLayoutView="0" workbookViewId="0" topLeftCell="A1">
      <pane xSplit="1" ySplit="5" topLeftCell="B44" activePane="bottomRight" state="frozen"/>
      <selection pane="topLeft" activeCell="A1" sqref="A1"/>
      <selection pane="topRight" activeCell="B1" sqref="B1"/>
      <selection pane="bottomLeft" activeCell="A7" sqref="A7"/>
      <selection pane="bottomRight" activeCell="D136" sqref="D136"/>
    </sheetView>
  </sheetViews>
  <sheetFormatPr defaultColWidth="9.00390625" defaultRowHeight="12.75"/>
  <cols>
    <col min="1" max="1" width="66.875" style="36" customWidth="1"/>
    <col min="2" max="2" width="19.00390625" style="36" customWidth="1"/>
    <col min="3" max="3" width="18.625" style="11" customWidth="1"/>
    <col min="4" max="4" width="19.00390625" style="11" customWidth="1"/>
    <col min="5" max="5" width="17.25390625" style="11" customWidth="1"/>
    <col min="6" max="6" width="19.375" style="11" customWidth="1"/>
    <col min="7" max="7" width="19.125" style="11" customWidth="1"/>
    <col min="8" max="8" width="19.75390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30">
      <c r="A1" s="150" t="s">
        <v>118</v>
      </c>
      <c r="B1" s="150"/>
      <c r="C1" s="150"/>
      <c r="D1" s="150"/>
      <c r="E1" s="150"/>
      <c r="F1" s="150"/>
      <c r="G1" s="150"/>
      <c r="H1" s="150"/>
      <c r="I1" s="150"/>
    </row>
    <row r="2" spans="1:8" ht="9.75" customHeight="1" thickBot="1">
      <c r="A2" s="27"/>
      <c r="B2" s="27"/>
      <c r="C2" s="10"/>
      <c r="D2" s="10"/>
      <c r="E2" s="10"/>
      <c r="F2" s="10"/>
      <c r="G2" s="10"/>
      <c r="H2" s="10"/>
    </row>
    <row r="3" spans="1:9" ht="29.25" customHeight="1">
      <c r="A3" s="154" t="s">
        <v>50</v>
      </c>
      <c r="B3" s="151" t="s">
        <v>115</v>
      </c>
      <c r="C3" s="151" t="s">
        <v>104</v>
      </c>
      <c r="D3" s="151" t="s">
        <v>29</v>
      </c>
      <c r="E3" s="151" t="s">
        <v>28</v>
      </c>
      <c r="F3" s="151" t="s">
        <v>116</v>
      </c>
      <c r="G3" s="151" t="s">
        <v>105</v>
      </c>
      <c r="H3" s="151" t="s">
        <v>117</v>
      </c>
      <c r="I3" s="151" t="s">
        <v>106</v>
      </c>
    </row>
    <row r="4" spans="1:9" ht="24.75" customHeight="1">
      <c r="A4" s="155"/>
      <c r="B4" s="152"/>
      <c r="C4" s="152"/>
      <c r="D4" s="152"/>
      <c r="E4" s="152"/>
      <c r="F4" s="152"/>
      <c r="G4" s="152"/>
      <c r="H4" s="152"/>
      <c r="I4" s="152"/>
    </row>
    <row r="5" spans="1:9" ht="39" customHeight="1" thickBot="1">
      <c r="A5" s="156"/>
      <c r="B5" s="153"/>
      <c r="C5" s="153"/>
      <c r="D5" s="153"/>
      <c r="E5" s="153"/>
      <c r="F5" s="153"/>
      <c r="G5" s="153"/>
      <c r="H5" s="153"/>
      <c r="I5" s="153"/>
    </row>
    <row r="6" spans="1:9" ht="18.75" thickBot="1">
      <c r="A6" s="28" t="s">
        <v>34</v>
      </c>
      <c r="B6" s="52">
        <f>114258.5-70.7</f>
        <v>114187.8</v>
      </c>
      <c r="C6" s="53">
        <f>336144.8+1363.8</f>
        <v>337508.6</v>
      </c>
      <c r="D6" s="54">
        <f>3778.8+318.6+74.4+4544.7+5310.3+2.2+304.5+4240.2+102.2+2722+99+59+395.4+13.7+14.4+157.5+8732.6+280+12.7+55.8+291.9+43.3+10050.8+2416.1+355.4+689.6+5369.4+293+783.8+2363.8+0.2+8052.3+0.2+852.1+1727.8+670.8+0.6+11747.2+0.3+345.5+79.8-0.1+2467+0.6+330.2+1438.4+323.4+315.3+5183.3+6538.6+70.4+205+130.5</f>
        <v>94354.50000000001</v>
      </c>
      <c r="E6" s="3">
        <f>D6/D144*100</f>
        <v>37.279445406293</v>
      </c>
      <c r="F6" s="3">
        <f>D6/B6*100</f>
        <v>82.63098159348023</v>
      </c>
      <c r="G6" s="3">
        <f aca="true" t="shared" si="0" ref="G6:G43">D6/C6*100</f>
        <v>27.956176524094506</v>
      </c>
      <c r="H6" s="3">
        <f>B6-D6</f>
        <v>19833.29999999999</v>
      </c>
      <c r="I6" s="3">
        <f aca="true" t="shared" si="1" ref="I6:I43">C6-D6</f>
        <v>243154.09999999998</v>
      </c>
    </row>
    <row r="7" spans="1:9" s="44" customFormat="1" ht="18.75">
      <c r="A7" s="119" t="s">
        <v>107</v>
      </c>
      <c r="B7" s="120">
        <v>53092.9</v>
      </c>
      <c r="C7" s="121">
        <v>179936.4</v>
      </c>
      <c r="D7" s="122">
        <f>17278.1+34.8+43.3+5046.6+1441.7+293+463.5+4876.3+308.3+631.3+5138.7+0.1+2292.2+271.4+1820.7+4384.3</f>
        <v>44324.29999999999</v>
      </c>
      <c r="E7" s="123">
        <f>D7/D6*100</f>
        <v>46.97634982963185</v>
      </c>
      <c r="F7" s="108">
        <f>D7/B7*100</f>
        <v>83.48442070408659</v>
      </c>
      <c r="G7" s="108">
        <f>D7/C7*100</f>
        <v>24.633314882369543</v>
      </c>
      <c r="H7" s="108">
        <f>B7-D7</f>
        <v>8768.600000000013</v>
      </c>
      <c r="I7" s="108">
        <f t="shared" si="1"/>
        <v>135612.1</v>
      </c>
    </row>
    <row r="8" spans="1:9" ht="18">
      <c r="A8" s="29" t="s">
        <v>3</v>
      </c>
      <c r="B8" s="49">
        <f>81208.5-40.4</f>
        <v>81168.1</v>
      </c>
      <c r="C8" s="50">
        <v>251964.7</v>
      </c>
      <c r="D8" s="51">
        <f>2656.8+4544.7+5310.3+304.5+4240.2+2115.7+0.5+13.7+8260.2+9928.8+1441.7+7980.3+10682.7+0.1+0.1+1665.8+5183.3+3109.4</f>
        <v>67438.8</v>
      </c>
      <c r="E8" s="1">
        <f>D8/D6*100</f>
        <v>71.47385657281846</v>
      </c>
      <c r="F8" s="1">
        <f>D8/B8*100</f>
        <v>83.08535003283309</v>
      </c>
      <c r="G8" s="1">
        <f t="shared" si="0"/>
        <v>26.76517782054391</v>
      </c>
      <c r="H8" s="1">
        <f>B8-D8</f>
        <v>13729.300000000003</v>
      </c>
      <c r="I8" s="1">
        <f t="shared" si="1"/>
        <v>184525.90000000002</v>
      </c>
    </row>
    <row r="9" spans="1:9" ht="18">
      <c r="A9" s="29" t="s">
        <v>2</v>
      </c>
      <c r="B9" s="49">
        <v>14.6</v>
      </c>
      <c r="C9" s="50">
        <v>45.2</v>
      </c>
      <c r="D9" s="51">
        <f>0.3+0.2+0.7</f>
        <v>1.2</v>
      </c>
      <c r="E9" s="12">
        <f>D9/D6*100</f>
        <v>0.0012717994372287488</v>
      </c>
      <c r="F9" s="149">
        <f>D9/B9*100</f>
        <v>8.21917808219178</v>
      </c>
      <c r="G9" s="1">
        <f t="shared" si="0"/>
        <v>2.654867256637168</v>
      </c>
      <c r="H9" s="1">
        <f aca="true" t="shared" si="2" ref="H9:H43">B9-D9</f>
        <v>13.4</v>
      </c>
      <c r="I9" s="1">
        <f t="shared" si="1"/>
        <v>44</v>
      </c>
    </row>
    <row r="10" spans="1:9" ht="18">
      <c r="A10" s="29" t="s">
        <v>1</v>
      </c>
      <c r="B10" s="49">
        <f>8148.8-977.4</f>
        <v>7171.400000000001</v>
      </c>
      <c r="C10" s="50">
        <f>21498.1+611.5</f>
        <v>22109.6</v>
      </c>
      <c r="D10" s="55">
        <f>391.1+295.4+72.7+84.3+268.2+68.6+39+308.5+154.7+328.1+203.3+53.9+39.8+25.1+104.1+11.5+21.9+15+581+50.5+202+8.2+203.8+151.8+67.9+1.5+569.8+330.2+151+135.8+235.2+212.7+53.7+201.8+117.5</f>
        <v>5759.6</v>
      </c>
      <c r="E10" s="1">
        <f>D10/D6*100</f>
        <v>6.104213365552251</v>
      </c>
      <c r="F10" s="1">
        <f aca="true" t="shared" si="3" ref="F10:F41">D10/B10*100</f>
        <v>80.3134673843322</v>
      </c>
      <c r="G10" s="1">
        <f t="shared" si="0"/>
        <v>26.050222527770746</v>
      </c>
      <c r="H10" s="1">
        <f t="shared" si="2"/>
        <v>1411.8000000000002</v>
      </c>
      <c r="I10" s="1">
        <f t="shared" si="1"/>
        <v>16349.999999999998</v>
      </c>
    </row>
    <row r="11" spans="1:9" ht="18">
      <c r="A11" s="29" t="s">
        <v>0</v>
      </c>
      <c r="B11" s="49">
        <f>22971.7+1017.8</f>
        <v>23989.5</v>
      </c>
      <c r="C11" s="50">
        <v>59404.7</v>
      </c>
      <c r="D11" s="56">
        <f>710.3+17.9+0.2+17+333.3+17.1+16+76.8+12.9+141.2+71+247.3+17.2+2.5+2414.8+355.4+677.9+3904.9+275.6+783.8+1761.8+627.5+1607.1+421.9+578.4+120.9-0.2+227.1+1199.6+183.7+71.5+3136.7+0.2</f>
        <v>20029.3</v>
      </c>
      <c r="E11" s="1">
        <f>D11/D6*100</f>
        <v>21.22771039007148</v>
      </c>
      <c r="F11" s="1">
        <f t="shared" si="3"/>
        <v>83.49194439233831</v>
      </c>
      <c r="G11" s="1">
        <f t="shared" si="0"/>
        <v>33.71669245026067</v>
      </c>
      <c r="H11" s="1">
        <f t="shared" si="2"/>
        <v>3960.2000000000007</v>
      </c>
      <c r="I11" s="1">
        <f t="shared" si="1"/>
        <v>39375.399999999994</v>
      </c>
    </row>
    <row r="12" spans="1:9" ht="18">
      <c r="A12" s="29" t="s">
        <v>15</v>
      </c>
      <c r="B12" s="49">
        <v>55.8</v>
      </c>
      <c r="C12" s="50">
        <v>286.2</v>
      </c>
      <c r="D12" s="51">
        <f>3.8+3.8+12.7+7.4+5+16.3</f>
        <v>49</v>
      </c>
      <c r="E12" s="1">
        <f>D12/D6*100</f>
        <v>0.05193181035350724</v>
      </c>
      <c r="F12" s="1">
        <f t="shared" si="3"/>
        <v>87.8136200716846</v>
      </c>
      <c r="G12" s="1">
        <f t="shared" si="0"/>
        <v>17.120894479385047</v>
      </c>
      <c r="H12" s="1">
        <f t="shared" si="2"/>
        <v>6.799999999999997</v>
      </c>
      <c r="I12" s="1">
        <f t="shared" si="1"/>
        <v>237.2</v>
      </c>
    </row>
    <row r="13" spans="1:9" ht="18.75" thickBot="1">
      <c r="A13" s="29" t="s">
        <v>35</v>
      </c>
      <c r="B13" s="50">
        <f>B6-B8-B9-B10-B11-B12</f>
        <v>1788.3999999999971</v>
      </c>
      <c r="C13" s="50">
        <f>C6-C8-C9-C10-C11-C12</f>
        <v>3698.1999999999725</v>
      </c>
      <c r="D13" s="50">
        <f>D6-D8-D9-D10-D11-D12</f>
        <v>1076.6000000000095</v>
      </c>
      <c r="E13" s="1">
        <f>D13/D6*100</f>
        <v>1.141016061767069</v>
      </c>
      <c r="F13" s="1">
        <f t="shared" si="3"/>
        <v>60.19906061283892</v>
      </c>
      <c r="G13" s="1">
        <f t="shared" si="0"/>
        <v>29.11145962900918</v>
      </c>
      <c r="H13" s="1">
        <f t="shared" si="2"/>
        <v>711.7999999999877</v>
      </c>
      <c r="I13" s="1">
        <f t="shared" si="1"/>
        <v>2621.599999999963</v>
      </c>
    </row>
    <row r="14" spans="1:9" s="44" customFormat="1" ht="18.75" customHeight="1" hidden="1">
      <c r="A14" s="109" t="s">
        <v>82</v>
      </c>
      <c r="B14" s="107"/>
      <c r="C14" s="107"/>
      <c r="D14" s="107"/>
      <c r="E14" s="108"/>
      <c r="F14" s="108" t="e">
        <f>D14/B14*100</f>
        <v>#DIV/0!</v>
      </c>
      <c r="G14" s="108" t="e">
        <f>D14/C14*100</f>
        <v>#DIV/0!</v>
      </c>
      <c r="H14" s="108">
        <f>B14-D14</f>
        <v>0</v>
      </c>
      <c r="I14" s="108">
        <f>C14-D14</f>
        <v>0</v>
      </c>
    </row>
    <row r="15" spans="1:9" s="44" customFormat="1" ht="18.75" customHeight="1" hidden="1">
      <c r="A15" s="109" t="s">
        <v>79</v>
      </c>
      <c r="B15" s="107"/>
      <c r="C15" s="107"/>
      <c r="D15" s="107"/>
      <c r="E15" s="108"/>
      <c r="F15" s="108" t="e">
        <f>D15/B15*100</f>
        <v>#DIV/0!</v>
      </c>
      <c r="G15" s="108" t="e">
        <f>D15/C15*100</f>
        <v>#DIV/0!</v>
      </c>
      <c r="H15" s="108">
        <f>B15-D15</f>
        <v>0</v>
      </c>
      <c r="I15" s="108">
        <f>C15-D15</f>
        <v>0</v>
      </c>
    </row>
    <row r="16" spans="1:9" s="44" customFormat="1" ht="19.5" hidden="1" thickBot="1">
      <c r="A16" s="109" t="s">
        <v>80</v>
      </c>
      <c r="B16" s="107"/>
      <c r="C16" s="107"/>
      <c r="D16" s="107"/>
      <c r="E16" s="108"/>
      <c r="F16" s="108" t="e">
        <f>D16/B16*100</f>
        <v>#DIV/0!</v>
      </c>
      <c r="G16" s="108" t="e">
        <f>D16/C16*100</f>
        <v>#DIV/0!</v>
      </c>
      <c r="H16" s="108">
        <f>B16-D16</f>
        <v>0</v>
      </c>
      <c r="I16" s="108">
        <f>C16-D16</f>
        <v>0</v>
      </c>
    </row>
    <row r="17" spans="1:9" s="44" customFormat="1" ht="19.5" hidden="1" thickBot="1">
      <c r="A17" s="109" t="s">
        <v>81</v>
      </c>
      <c r="B17" s="107"/>
      <c r="C17" s="107"/>
      <c r="D17" s="107"/>
      <c r="E17" s="108"/>
      <c r="F17" s="108" t="e">
        <f>D17/B17*100</f>
        <v>#DIV/0!</v>
      </c>
      <c r="G17" s="108" t="e">
        <f>D17/C17*100</f>
        <v>#DIV/0!</v>
      </c>
      <c r="H17" s="108">
        <f>B17-D17</f>
        <v>0</v>
      </c>
      <c r="I17" s="108">
        <f>C17-D17</f>
        <v>0</v>
      </c>
    </row>
    <row r="18" spans="1:9" ht="18.75" thickBot="1">
      <c r="A18" s="28" t="s">
        <v>23</v>
      </c>
      <c r="B18" s="52">
        <v>64674.3</v>
      </c>
      <c r="C18" s="53">
        <f>225678.2+490.7</f>
        <v>226168.90000000002</v>
      </c>
      <c r="D18" s="54">
        <f>5164.3+574.5+4623.4+2805.2+358.8+626.5+552.8+632.3+5118.8+101.4+166.3+0.1+1058.1+4.5+4222.3+101.4+4273.5+934.6+5187.7+0.2+1536.8+16+1026+471.5+1411.4+11.3+2729.9+4996.6+194.4+3533.4+1472.3+168.5+4832.7</f>
        <v>58907.5</v>
      </c>
      <c r="E18" s="3">
        <f>D18/D144*100</f>
        <v>23.274342297094517</v>
      </c>
      <c r="F18" s="3">
        <f>D18/B18*100</f>
        <v>91.08332057710713</v>
      </c>
      <c r="G18" s="3">
        <f t="shared" si="0"/>
        <v>26.04580028465452</v>
      </c>
      <c r="H18" s="3">
        <f>B18-D18</f>
        <v>5766.800000000003</v>
      </c>
      <c r="I18" s="3">
        <f t="shared" si="1"/>
        <v>167261.40000000002</v>
      </c>
    </row>
    <row r="19" spans="1:9" s="44" customFormat="1" ht="18.75">
      <c r="A19" s="119" t="s">
        <v>108</v>
      </c>
      <c r="B19" s="120">
        <v>62168.2</v>
      </c>
      <c r="C19" s="121">
        <v>186519.2</v>
      </c>
      <c r="D19" s="122">
        <f>20724.4+1058.1+4.5+4107.3+4273.5+909.7+5187.7+0.2+1026+1411.4+1.1+2729.9+0.1+4996.6+194.4+3533.4+1472.3+168.5+4832.7</f>
        <v>56631.799999999996</v>
      </c>
      <c r="E19" s="123">
        <f>D19/D18*100</f>
        <v>96.13682468276534</v>
      </c>
      <c r="F19" s="108">
        <f t="shared" si="3"/>
        <v>91.09448238810195</v>
      </c>
      <c r="G19" s="108">
        <f t="shared" si="0"/>
        <v>30.362450621705428</v>
      </c>
      <c r="H19" s="108">
        <f t="shared" si="2"/>
        <v>5536.4000000000015</v>
      </c>
      <c r="I19" s="108">
        <f t="shared" si="1"/>
        <v>129887.40000000002</v>
      </c>
    </row>
    <row r="20" spans="1:9" ht="18">
      <c r="A20" s="29" t="s">
        <v>5</v>
      </c>
      <c r="B20" s="49">
        <v>49042.2</v>
      </c>
      <c r="C20" s="50">
        <v>169195.9</v>
      </c>
      <c r="D20" s="51">
        <f>5164.3+574.5+4352.6-225.6+2461.2+632.3+5026.9+4104.6-0.1+3875.3+3989.4+855.4+280+4996.6+192.6+3533.4+437.2+168.1+4832.7</f>
        <v>45251.399999999994</v>
      </c>
      <c r="E20" s="1">
        <f>D20/D18*100</f>
        <v>76.81772270084454</v>
      </c>
      <c r="F20" s="1">
        <f t="shared" si="3"/>
        <v>92.27033045010215</v>
      </c>
      <c r="G20" s="1">
        <f t="shared" si="0"/>
        <v>26.744974316753535</v>
      </c>
      <c r="H20" s="1">
        <f t="shared" si="2"/>
        <v>3790.800000000003</v>
      </c>
      <c r="I20" s="1">
        <f t="shared" si="1"/>
        <v>123944.5</v>
      </c>
    </row>
    <row r="21" spans="1:9" ht="18">
      <c r="A21" s="29" t="s">
        <v>2</v>
      </c>
      <c r="B21" s="49">
        <v>2528.3</v>
      </c>
      <c r="C21" s="50">
        <v>12491.1</v>
      </c>
      <c r="D21" s="51">
        <f>11+1.8+42.7+3+47.6+40.1+0.7+2.5+101.4-0.1+82.5+53+0.2+1536.8+83.2+0.7+12.8+1.8+77.1+0.2</f>
        <v>2098.9999999999995</v>
      </c>
      <c r="E21" s="1">
        <f>D21/D18*100</f>
        <v>3.563213512710605</v>
      </c>
      <c r="F21" s="1">
        <f t="shared" si="3"/>
        <v>83.02021120911282</v>
      </c>
      <c r="G21" s="1">
        <f t="shared" si="0"/>
        <v>16.803964422668933</v>
      </c>
      <c r="H21" s="1">
        <f t="shared" si="2"/>
        <v>429.30000000000064</v>
      </c>
      <c r="I21" s="1">
        <f t="shared" si="1"/>
        <v>10392.1</v>
      </c>
    </row>
    <row r="22" spans="1:9" ht="18">
      <c r="A22" s="29" t="s">
        <v>1</v>
      </c>
      <c r="B22" s="49">
        <v>1016.9</v>
      </c>
      <c r="C22" s="50">
        <v>3253.3</v>
      </c>
      <c r="D22" s="51">
        <f>173.9+19+7.6+19.5+89.8+0.1+92.4+48.6+202.1+56.1+96.9</f>
        <v>806.0000000000001</v>
      </c>
      <c r="E22" s="1">
        <f>D22/D18*100</f>
        <v>1.3682468276535247</v>
      </c>
      <c r="F22" s="1">
        <f t="shared" si="3"/>
        <v>79.2604975907169</v>
      </c>
      <c r="G22" s="1">
        <f t="shared" si="0"/>
        <v>24.77484400454923</v>
      </c>
      <c r="H22" s="1">
        <f t="shared" si="2"/>
        <v>210.89999999999986</v>
      </c>
      <c r="I22" s="1">
        <f t="shared" si="1"/>
        <v>2447.3</v>
      </c>
    </row>
    <row r="23" spans="1:9" ht="18">
      <c r="A23" s="29" t="s">
        <v>0</v>
      </c>
      <c r="B23" s="49">
        <v>7643.3</v>
      </c>
      <c r="C23" s="50">
        <v>24676.2</v>
      </c>
      <c r="D23" s="51">
        <f>96.9+173.9+611.9+463.4+109.9+698.9+114.7+0.2+702.4+1027.2+819.6+1945.5+240.6</f>
        <v>7005.1</v>
      </c>
      <c r="E23" s="1">
        <f>D23/D18*100</f>
        <v>11.891694605950006</v>
      </c>
      <c r="F23" s="1">
        <f t="shared" si="3"/>
        <v>91.65020344615546</v>
      </c>
      <c r="G23" s="1">
        <f t="shared" si="0"/>
        <v>28.38808244381226</v>
      </c>
      <c r="H23" s="1">
        <f t="shared" si="2"/>
        <v>638.1999999999998</v>
      </c>
      <c r="I23" s="1">
        <f t="shared" si="1"/>
        <v>17671.1</v>
      </c>
    </row>
    <row r="24" spans="1:9" ht="18">
      <c r="A24" s="29" t="s">
        <v>15</v>
      </c>
      <c r="B24" s="49">
        <v>459.1</v>
      </c>
      <c r="C24" s="50">
        <v>1528.1</v>
      </c>
      <c r="D24" s="51">
        <f>111+58.1+166.1+55.7</f>
        <v>390.9</v>
      </c>
      <c r="E24" s="1">
        <f>D24/D18*100</f>
        <v>0.6635827356448669</v>
      </c>
      <c r="F24" s="1">
        <f t="shared" si="3"/>
        <v>85.14484861685906</v>
      </c>
      <c r="G24" s="1">
        <f t="shared" si="0"/>
        <v>25.58078659773575</v>
      </c>
      <c r="H24" s="1">
        <f t="shared" si="2"/>
        <v>68.20000000000005</v>
      </c>
      <c r="I24" s="1">
        <f t="shared" si="1"/>
        <v>1137.1999999999998</v>
      </c>
    </row>
    <row r="25" spans="1:9" ht="18.75" thickBot="1">
      <c r="A25" s="29" t="s">
        <v>35</v>
      </c>
      <c r="B25" s="50">
        <f>B18-B20-B21-B22-B23-B24</f>
        <v>3984.500000000007</v>
      </c>
      <c r="C25" s="50">
        <f>C18-C20-C21-C22-C23-C24</f>
        <v>15024.300000000027</v>
      </c>
      <c r="D25" s="50">
        <f>D18-D20-D21-D22-D23-D24</f>
        <v>3355.1000000000054</v>
      </c>
      <c r="E25" s="1">
        <f>D25/D18*100</f>
        <v>5.695539617196461</v>
      </c>
      <c r="F25" s="1">
        <f t="shared" si="3"/>
        <v>84.20378968502948</v>
      </c>
      <c r="G25" s="1">
        <f t="shared" si="0"/>
        <v>22.33115685922139</v>
      </c>
      <c r="H25" s="1">
        <f t="shared" si="2"/>
        <v>629.4000000000015</v>
      </c>
      <c r="I25" s="1">
        <f t="shared" si="1"/>
        <v>11669.20000000002</v>
      </c>
    </row>
    <row r="26" spans="1:9" ht="57" hidden="1" thickBot="1">
      <c r="A26" s="109" t="s">
        <v>90</v>
      </c>
      <c r="B26" s="50"/>
      <c r="C26" s="50"/>
      <c r="D26" s="50"/>
      <c r="E26" s="1"/>
      <c r="F26" s="1" t="e">
        <f t="shared" si="3"/>
        <v>#DIV/0!</v>
      </c>
      <c r="G26" s="1" t="e">
        <f t="shared" si="0"/>
        <v>#DIV/0!</v>
      </c>
      <c r="H26" s="1">
        <f t="shared" si="2"/>
        <v>0</v>
      </c>
      <c r="I26" s="1">
        <f t="shared" si="1"/>
        <v>0</v>
      </c>
    </row>
    <row r="27" spans="1:9" ht="36.75" customHeight="1" hidden="1">
      <c r="A27" s="109" t="s">
        <v>91</v>
      </c>
      <c r="B27" s="50"/>
      <c r="C27" s="50"/>
      <c r="D27" s="50"/>
      <c r="E27" s="1"/>
      <c r="F27" s="1" t="e">
        <f t="shared" si="3"/>
        <v>#DIV/0!</v>
      </c>
      <c r="G27" s="1" t="e">
        <f t="shared" si="0"/>
        <v>#DIV/0!</v>
      </c>
      <c r="H27" s="1">
        <f t="shared" si="2"/>
        <v>0</v>
      </c>
      <c r="I27" s="1">
        <f t="shared" si="1"/>
        <v>0</v>
      </c>
    </row>
    <row r="28" spans="1:9" ht="19.5" hidden="1" thickBot="1">
      <c r="A28" s="109" t="s">
        <v>92</v>
      </c>
      <c r="B28" s="50"/>
      <c r="C28" s="50"/>
      <c r="D28" s="50"/>
      <c r="E28" s="1"/>
      <c r="F28" s="1" t="e">
        <f t="shared" si="3"/>
        <v>#DIV/0!</v>
      </c>
      <c r="G28" s="1" t="e">
        <f t="shared" si="0"/>
        <v>#DIV/0!</v>
      </c>
      <c r="H28" s="1">
        <f t="shared" si="2"/>
        <v>0</v>
      </c>
      <c r="I28" s="1">
        <f t="shared" si="1"/>
        <v>0</v>
      </c>
    </row>
    <row r="29" spans="1:9" ht="39.75" customHeight="1" hidden="1">
      <c r="A29" s="109" t="s">
        <v>93</v>
      </c>
      <c r="B29" s="50"/>
      <c r="C29" s="50"/>
      <c r="D29" s="50"/>
      <c r="E29" s="1"/>
      <c r="F29" s="1" t="e">
        <f t="shared" si="3"/>
        <v>#DIV/0!</v>
      </c>
      <c r="G29" s="1" t="e">
        <f t="shared" si="0"/>
        <v>#DIV/0!</v>
      </c>
      <c r="H29" s="1">
        <f t="shared" si="2"/>
        <v>0</v>
      </c>
      <c r="I29" s="1">
        <f t="shared" si="1"/>
        <v>0</v>
      </c>
    </row>
    <row r="30" spans="1:9" ht="37.5" customHeight="1" hidden="1">
      <c r="A30" s="109" t="s">
        <v>94</v>
      </c>
      <c r="B30" s="50"/>
      <c r="C30" s="50"/>
      <c r="D30" s="50"/>
      <c r="E30" s="1"/>
      <c r="F30" s="1" t="e">
        <f>D30/B30*100</f>
        <v>#DIV/0!</v>
      </c>
      <c r="G30" s="1" t="e">
        <f t="shared" si="0"/>
        <v>#DIV/0!</v>
      </c>
      <c r="H30" s="1">
        <f t="shared" si="2"/>
        <v>0</v>
      </c>
      <c r="I30" s="1">
        <f t="shared" si="1"/>
        <v>0</v>
      </c>
    </row>
    <row r="31" spans="1:9" ht="36" customHeight="1" hidden="1">
      <c r="A31" s="109" t="s">
        <v>95</v>
      </c>
      <c r="B31" s="50"/>
      <c r="C31" s="50"/>
      <c r="D31" s="50"/>
      <c r="E31" s="1"/>
      <c r="F31" s="1" t="e">
        <f t="shared" si="3"/>
        <v>#DIV/0!</v>
      </c>
      <c r="G31" s="1" t="e">
        <f t="shared" si="0"/>
        <v>#DIV/0!</v>
      </c>
      <c r="H31" s="1">
        <f t="shared" si="2"/>
        <v>0</v>
      </c>
      <c r="I31" s="1">
        <f t="shared" si="1"/>
        <v>0</v>
      </c>
    </row>
    <row r="32" spans="1:9" ht="19.5" hidden="1" thickBot="1">
      <c r="A32" s="109" t="s">
        <v>96</v>
      </c>
      <c r="B32" s="50"/>
      <c r="C32" s="50"/>
      <c r="D32" s="50"/>
      <c r="E32" s="1"/>
      <c r="F32" s="1" t="e">
        <f t="shared" si="3"/>
        <v>#DIV/0!</v>
      </c>
      <c r="G32" s="1" t="e">
        <f t="shared" si="0"/>
        <v>#DIV/0!</v>
      </c>
      <c r="H32" s="1">
        <f t="shared" si="2"/>
        <v>0</v>
      </c>
      <c r="I32" s="1">
        <f t="shared" si="1"/>
        <v>0</v>
      </c>
    </row>
    <row r="33" spans="1:9" ht="18.75" thickBot="1">
      <c r="A33" s="28" t="s">
        <v>18</v>
      </c>
      <c r="B33" s="52">
        <v>14544.8</v>
      </c>
      <c r="C33" s="53">
        <f>41831.7+164.1</f>
        <v>41995.799999999996</v>
      </c>
      <c r="D33" s="57">
        <f>1251.6+285.2+60+12.3+10.8+1064.6+3.2+0.1-0.1+22.2+396.9+163.2+73.2+1267+3.8+36.5+85.5+1249.9+29.3+7.7+421.4+118.5+23.8+204.6+104.2+1392.3+65.1+49.1+0.4+84.2+34+40.6+94.4+1266.4+1.8+93.6+2.6+158.7-0.1+300+102.9+181.8+11.7+1194.3+144+112.5+25.4+0.8+5.5+57.9</f>
        <v>12315.299999999997</v>
      </c>
      <c r="E33" s="3">
        <f>D33/D144*100</f>
        <v>4.865772740167348</v>
      </c>
      <c r="F33" s="3">
        <f>D33/B33*100</f>
        <v>84.67149771739727</v>
      </c>
      <c r="G33" s="3">
        <f t="shared" si="0"/>
        <v>29.32507536467932</v>
      </c>
      <c r="H33" s="3">
        <f t="shared" si="2"/>
        <v>2229.500000000002</v>
      </c>
      <c r="I33" s="3">
        <f t="shared" si="1"/>
        <v>29680.5</v>
      </c>
    </row>
    <row r="34" spans="1:9" ht="18">
      <c r="A34" s="29" t="s">
        <v>3</v>
      </c>
      <c r="B34" s="49">
        <f>9615.4-7.5</f>
        <v>9607.9</v>
      </c>
      <c r="C34" s="50">
        <v>29626.4</v>
      </c>
      <c r="D34" s="51">
        <f>1216.2+1064.6-0.1+1185.2+1240.8+0.1+1202.8+1206.8+1191.1</f>
        <v>8307.500000000002</v>
      </c>
      <c r="E34" s="1">
        <f>D34/D33*100</f>
        <v>67.45674080209173</v>
      </c>
      <c r="F34" s="1">
        <f t="shared" si="3"/>
        <v>86.46530459309528</v>
      </c>
      <c r="G34" s="1">
        <f t="shared" si="0"/>
        <v>28.040868954716068</v>
      </c>
      <c r="H34" s="1">
        <f t="shared" si="2"/>
        <v>1300.3999999999978</v>
      </c>
      <c r="I34" s="1">
        <f t="shared" si="1"/>
        <v>21318.9</v>
      </c>
    </row>
    <row r="35" spans="1:9" ht="18" hidden="1">
      <c r="A35" s="29" t="s">
        <v>1</v>
      </c>
      <c r="B35" s="49"/>
      <c r="C35" s="50"/>
      <c r="D35" s="51"/>
      <c r="E35" s="1">
        <f>D35/D33*100</f>
        <v>0</v>
      </c>
      <c r="F35" s="1" t="e">
        <f t="shared" si="3"/>
        <v>#DIV/0!</v>
      </c>
      <c r="G35" s="1" t="e">
        <f t="shared" si="0"/>
        <v>#DIV/0!</v>
      </c>
      <c r="H35" s="1">
        <f t="shared" si="2"/>
        <v>0</v>
      </c>
      <c r="I35" s="1">
        <f t="shared" si="1"/>
        <v>0</v>
      </c>
    </row>
    <row r="36" spans="1:9" ht="18">
      <c r="A36" s="29" t="s">
        <v>0</v>
      </c>
      <c r="B36" s="49">
        <f>1271.3+27.5</f>
        <v>1298.8</v>
      </c>
      <c r="C36" s="50">
        <v>2423.5</v>
      </c>
      <c r="D36" s="51">
        <f>6.5+2.8+10.2+0.8+23.6+67.7+80.5+1.3+36.1+6.9+3.3+7.6-0.1+154.9+32.2+23.8+2.3+86.1+23.3+3.4+0.7+1.8+4.8+6+11.6+1.8+11.8+146.5+0.1+108.8+11.7+126.6+38.9+18.4+2.1+20</f>
        <v>1084.8</v>
      </c>
      <c r="E36" s="1">
        <f>D36/D33*100</f>
        <v>8.808555211809702</v>
      </c>
      <c r="F36" s="1">
        <f t="shared" si="3"/>
        <v>83.5232522328303</v>
      </c>
      <c r="G36" s="1">
        <f t="shared" si="0"/>
        <v>44.76170827315865</v>
      </c>
      <c r="H36" s="1">
        <f t="shared" si="2"/>
        <v>214</v>
      </c>
      <c r="I36" s="1">
        <f t="shared" si="1"/>
        <v>1338.7</v>
      </c>
    </row>
    <row r="37" spans="1:9" s="44" customFormat="1" ht="18.75">
      <c r="A37" s="23" t="s">
        <v>7</v>
      </c>
      <c r="B37" s="58">
        <v>183.4</v>
      </c>
      <c r="C37" s="59">
        <f>493.5+22</f>
        <v>515.5</v>
      </c>
      <c r="D37" s="60">
        <f>19+12.3+0.1+11.9+3.2</f>
        <v>46.50000000000001</v>
      </c>
      <c r="E37" s="19">
        <f>D37/D33*100</f>
        <v>0.3775791089133031</v>
      </c>
      <c r="F37" s="19">
        <f t="shared" si="3"/>
        <v>25.354416575790623</v>
      </c>
      <c r="G37" s="19">
        <f t="shared" si="0"/>
        <v>9.020368574199807</v>
      </c>
      <c r="H37" s="19">
        <f t="shared" si="2"/>
        <v>136.9</v>
      </c>
      <c r="I37" s="19">
        <f t="shared" si="1"/>
        <v>469</v>
      </c>
    </row>
    <row r="38" spans="1:9" ht="18">
      <c r="A38" s="29" t="s">
        <v>15</v>
      </c>
      <c r="B38" s="49">
        <v>33.6</v>
      </c>
      <c r="C38" s="50">
        <v>47.2</v>
      </c>
      <c r="D38" s="50">
        <f>3.4+3.4+3.4+3.4</f>
        <v>13.6</v>
      </c>
      <c r="E38" s="1">
        <f>D38/D33*100</f>
        <v>0.11043173938109507</v>
      </c>
      <c r="F38" s="1">
        <f t="shared" si="3"/>
        <v>40.476190476190474</v>
      </c>
      <c r="G38" s="1">
        <f t="shared" si="0"/>
        <v>28.813559322033893</v>
      </c>
      <c r="H38" s="1">
        <f t="shared" si="2"/>
        <v>20</v>
      </c>
      <c r="I38" s="1">
        <f t="shared" si="1"/>
        <v>33.6</v>
      </c>
    </row>
    <row r="39" spans="1:9" ht="18.75" thickBot="1">
      <c r="A39" s="29" t="s">
        <v>35</v>
      </c>
      <c r="B39" s="49">
        <f>B33-B34-B36-B37-B35-B38</f>
        <v>3421.0999999999995</v>
      </c>
      <c r="C39" s="49">
        <f>C33-C34-C36-C37-C35-C38</f>
        <v>9383.199999999993</v>
      </c>
      <c r="D39" s="49">
        <f>D33-D34-D36-D37-D35-D38</f>
        <v>2862.8999999999955</v>
      </c>
      <c r="E39" s="1">
        <f>D39/D33*100</f>
        <v>23.246693137804165</v>
      </c>
      <c r="F39" s="1">
        <f t="shared" si="3"/>
        <v>83.68361053462326</v>
      </c>
      <c r="G39" s="1">
        <f t="shared" si="0"/>
        <v>30.510913121323192</v>
      </c>
      <c r="H39" s="1">
        <f>B39-D39</f>
        <v>558.2000000000039</v>
      </c>
      <c r="I39" s="1">
        <f t="shared" si="1"/>
        <v>6520.299999999997</v>
      </c>
    </row>
    <row r="40" spans="1:9" ht="19.5" hidden="1" thickBot="1">
      <c r="A40" s="109" t="s">
        <v>87</v>
      </c>
      <c r="B40" s="110"/>
      <c r="C40" s="110"/>
      <c r="D40" s="110"/>
      <c r="E40" s="108"/>
      <c r="F40" s="108" t="e">
        <f t="shared" si="3"/>
        <v>#DIV/0!</v>
      </c>
      <c r="G40" s="108" t="e">
        <f t="shared" si="0"/>
        <v>#DIV/0!</v>
      </c>
      <c r="H40" s="108">
        <f>B40-D40</f>
        <v>0</v>
      </c>
      <c r="I40" s="108">
        <f t="shared" si="1"/>
        <v>0</v>
      </c>
    </row>
    <row r="41" spans="1:9" ht="19.5" hidden="1" thickBot="1">
      <c r="A41" s="109" t="s">
        <v>88</v>
      </c>
      <c r="B41" s="110"/>
      <c r="C41" s="110"/>
      <c r="D41" s="110"/>
      <c r="E41" s="108"/>
      <c r="F41" s="108" t="e">
        <f t="shared" si="3"/>
        <v>#DIV/0!</v>
      </c>
      <c r="G41" s="108" t="e">
        <f t="shared" si="0"/>
        <v>#DIV/0!</v>
      </c>
      <c r="H41" s="108">
        <f>B41-D41</f>
        <v>0</v>
      </c>
      <c r="I41" s="108">
        <f t="shared" si="1"/>
        <v>0</v>
      </c>
    </row>
    <row r="42" spans="1:9" ht="19.5" hidden="1" thickBot="1">
      <c r="A42" s="109" t="s">
        <v>89</v>
      </c>
      <c r="B42" s="110"/>
      <c r="C42" s="110"/>
      <c r="D42" s="110"/>
      <c r="E42" s="108"/>
      <c r="F42" s="108"/>
      <c r="G42" s="108" t="e">
        <f t="shared" si="0"/>
        <v>#DIV/0!</v>
      </c>
      <c r="H42" s="108">
        <f>B42-D42</f>
        <v>0</v>
      </c>
      <c r="I42" s="108">
        <f t="shared" si="1"/>
        <v>0</v>
      </c>
    </row>
    <row r="43" spans="1:9" ht="19.5" thickBot="1">
      <c r="A43" s="14" t="s">
        <v>17</v>
      </c>
      <c r="B43" s="111">
        <v>290.2</v>
      </c>
      <c r="C43" s="53">
        <f>768.4+32.5</f>
        <v>800.9</v>
      </c>
      <c r="D43" s="54">
        <f>17.7+12.2+11.2+51.1+0.8+30+0.1+18.9+27.3</f>
        <v>169.29999999999998</v>
      </c>
      <c r="E43" s="3">
        <f>D43/D144*100</f>
        <v>0.06689039852137846</v>
      </c>
      <c r="F43" s="3">
        <f>D43/B43*100</f>
        <v>58.33907649896622</v>
      </c>
      <c r="G43" s="3">
        <f t="shared" si="0"/>
        <v>21.138718941191158</v>
      </c>
      <c r="H43" s="3">
        <f t="shared" si="2"/>
        <v>120.9</v>
      </c>
      <c r="I43" s="3">
        <f t="shared" si="1"/>
        <v>631.6</v>
      </c>
    </row>
    <row r="44" spans="1:9" ht="12" customHeight="1" thickBot="1">
      <c r="A44" s="31"/>
      <c r="B44" s="62"/>
      <c r="C44" s="63"/>
      <c r="D44" s="64"/>
      <c r="E44" s="7"/>
      <c r="F44" s="7"/>
      <c r="G44" s="7"/>
      <c r="H44" s="7"/>
      <c r="I44" s="7"/>
    </row>
    <row r="45" spans="1:9" ht="18.75" thickBot="1">
      <c r="A45" s="28" t="s">
        <v>55</v>
      </c>
      <c r="B45" s="52">
        <f>2286.2-2.4</f>
        <v>2283.7999999999997</v>
      </c>
      <c r="C45" s="53">
        <f>6659.3+87.1</f>
        <v>6746.400000000001</v>
      </c>
      <c r="D45" s="54">
        <f>193+223+8.7+101.1+200.9+9+241+299.2+7.6+43.6+283.1+0.8+48.7+276.1+3.4</f>
        <v>1939.1999999999998</v>
      </c>
      <c r="E45" s="3">
        <f>D45/D144*100</f>
        <v>0.7661775594368405</v>
      </c>
      <c r="F45" s="3">
        <f>D45/B45*100</f>
        <v>84.91111305718539</v>
      </c>
      <c r="G45" s="3">
        <f aca="true" t="shared" si="4" ref="G45:G75">D45/C45*100</f>
        <v>28.7442191390964</v>
      </c>
      <c r="H45" s="3">
        <f>B45-D45</f>
        <v>344.5999999999999</v>
      </c>
      <c r="I45" s="3">
        <f aca="true" t="shared" si="5" ref="I45:I76">C45-D45</f>
        <v>4807.200000000001</v>
      </c>
    </row>
    <row r="46" spans="1:9" ht="18">
      <c r="A46" s="29" t="s">
        <v>3</v>
      </c>
      <c r="B46" s="49">
        <v>1806.6</v>
      </c>
      <c r="C46" s="50">
        <v>5755.9</v>
      </c>
      <c r="D46" s="51">
        <f>193+222.7+1.6+196.4+240.9+0.1+199.7+265.9+214</f>
        <v>1534.3000000000002</v>
      </c>
      <c r="E46" s="1">
        <f>D46/D45*100</f>
        <v>79.12025577557758</v>
      </c>
      <c r="F46" s="1">
        <f aca="true" t="shared" si="6" ref="F46:F73">D46/B46*100</f>
        <v>84.92748809919186</v>
      </c>
      <c r="G46" s="1">
        <f t="shared" si="4"/>
        <v>26.656126756892935</v>
      </c>
      <c r="H46" s="1">
        <f aca="true" t="shared" si="7" ref="H46:H73">B46-D46</f>
        <v>272.2999999999997</v>
      </c>
      <c r="I46" s="1">
        <f t="shared" si="5"/>
        <v>4221.599999999999</v>
      </c>
    </row>
    <row r="47" spans="1:9" ht="18">
      <c r="A47" s="29" t="s">
        <v>2</v>
      </c>
      <c r="B47" s="49">
        <v>0.3</v>
      </c>
      <c r="C47" s="50">
        <v>1.2</v>
      </c>
      <c r="D47" s="51">
        <f>0.3</f>
        <v>0.3</v>
      </c>
      <c r="E47" s="1">
        <f>D47/D45*100</f>
        <v>0.01547029702970297</v>
      </c>
      <c r="F47" s="1">
        <f t="shared" si="6"/>
        <v>100</v>
      </c>
      <c r="G47" s="1">
        <f t="shared" si="4"/>
        <v>25</v>
      </c>
      <c r="H47" s="1">
        <f t="shared" si="7"/>
        <v>0</v>
      </c>
      <c r="I47" s="1">
        <f t="shared" si="5"/>
        <v>0.8999999999999999</v>
      </c>
    </row>
    <row r="48" spans="1:9" ht="18">
      <c r="A48" s="29" t="s">
        <v>1</v>
      </c>
      <c r="B48" s="49">
        <v>19.4</v>
      </c>
      <c r="C48" s="50">
        <v>60.2</v>
      </c>
      <c r="D48" s="51">
        <f>3.8+1+5.7-0.1+1.3+4.1</f>
        <v>15.8</v>
      </c>
      <c r="E48" s="1">
        <f>D48/D45*100</f>
        <v>0.8147689768976899</v>
      </c>
      <c r="F48" s="1">
        <f t="shared" si="6"/>
        <v>81.44329896907217</v>
      </c>
      <c r="G48" s="1">
        <f t="shared" si="4"/>
        <v>26.245847176079735</v>
      </c>
      <c r="H48" s="1">
        <f t="shared" si="7"/>
        <v>3.599999999999998</v>
      </c>
      <c r="I48" s="1">
        <f t="shared" si="5"/>
        <v>44.400000000000006</v>
      </c>
    </row>
    <row r="49" spans="1:9" ht="18">
      <c r="A49" s="29" t="s">
        <v>0</v>
      </c>
      <c r="B49" s="49">
        <v>292.8</v>
      </c>
      <c r="C49" s="50">
        <v>538.3</v>
      </c>
      <c r="D49" s="51">
        <f>4.7+90.3+4.8+67.1+3.1+1.1+45.6+36.3+2.7</f>
        <v>255.69999999999993</v>
      </c>
      <c r="E49" s="1">
        <f>D49/D45*100</f>
        <v>13.185849834983495</v>
      </c>
      <c r="F49" s="1">
        <f t="shared" si="6"/>
        <v>87.32923497267757</v>
      </c>
      <c r="G49" s="1">
        <f t="shared" si="4"/>
        <v>47.50139327512539</v>
      </c>
      <c r="H49" s="1">
        <f t="shared" si="7"/>
        <v>37.10000000000008</v>
      </c>
      <c r="I49" s="1">
        <f t="shared" si="5"/>
        <v>282.6</v>
      </c>
    </row>
    <row r="50" spans="1:9" ht="18.75" thickBot="1">
      <c r="A50" s="29" t="s">
        <v>35</v>
      </c>
      <c r="B50" s="50">
        <f>B45-B46-B49-B48-B47</f>
        <v>164.6999999999998</v>
      </c>
      <c r="C50" s="50">
        <f>C45-C46-C49-C48-C47</f>
        <v>390.800000000001</v>
      </c>
      <c r="D50" s="50">
        <f>D45-D46-D49-D48-D47</f>
        <v>133.09999999999968</v>
      </c>
      <c r="E50" s="1">
        <f>D50/D45*100</f>
        <v>6.863655115511536</v>
      </c>
      <c r="F50" s="1">
        <f t="shared" si="6"/>
        <v>80.81360048573154</v>
      </c>
      <c r="G50" s="1">
        <f t="shared" si="4"/>
        <v>34.058341862845275</v>
      </c>
      <c r="H50" s="1">
        <f t="shared" si="7"/>
        <v>31.600000000000108</v>
      </c>
      <c r="I50" s="1">
        <f t="shared" si="5"/>
        <v>257.7000000000013</v>
      </c>
    </row>
    <row r="51" spans="1:9" ht="18.75" thickBot="1">
      <c r="A51" s="28" t="s">
        <v>4</v>
      </c>
      <c r="B51" s="52">
        <v>5102.5</v>
      </c>
      <c r="C51" s="53">
        <f>13881+326.7</f>
        <v>14207.7</v>
      </c>
      <c r="D51" s="54">
        <f>260.4+84.2+35.2+27.7+429.5+47.7+9.2+7.6+47.3+0.3+0.2+338.5+6.8+0.3+85+62.8+1.5+472.7+38.5+0.1+49.4+117.6+311.3+37+71.4+15+489.6+106.2+9.7+10.3+4.5+1.3+36.2+1.3+0.1+7.8+422</f>
        <v>3646.2000000000003</v>
      </c>
      <c r="E51" s="3">
        <f>D51/D144*100</f>
        <v>1.4406129420475497</v>
      </c>
      <c r="F51" s="3">
        <f>D51/B51*100</f>
        <v>71.45908868201862</v>
      </c>
      <c r="G51" s="3">
        <f t="shared" si="4"/>
        <v>25.66354863911823</v>
      </c>
      <c r="H51" s="3">
        <f>B51-D51</f>
        <v>1456.2999999999997</v>
      </c>
      <c r="I51" s="3">
        <f t="shared" si="5"/>
        <v>10561.5</v>
      </c>
    </row>
    <row r="52" spans="1:9" ht="18">
      <c r="A52" s="29" t="s">
        <v>3</v>
      </c>
      <c r="B52" s="49">
        <v>2739.5</v>
      </c>
      <c r="C52" s="50">
        <v>8729.1</v>
      </c>
      <c r="D52" s="51">
        <f>260.4+390.2+0.1+271.7+395.7-0.1+282.9+391.4+0.1+7.8+263.9</f>
        <v>2264.1</v>
      </c>
      <c r="E52" s="1">
        <f>D52/D51*100</f>
        <v>62.094783610334034</v>
      </c>
      <c r="F52" s="1">
        <f t="shared" si="6"/>
        <v>82.64646833363753</v>
      </c>
      <c r="G52" s="1">
        <f t="shared" si="4"/>
        <v>25.93738186067292</v>
      </c>
      <c r="H52" s="1">
        <f t="shared" si="7"/>
        <v>475.4000000000001</v>
      </c>
      <c r="I52" s="1">
        <f t="shared" si="5"/>
        <v>6465</v>
      </c>
    </row>
    <row r="53" spans="1:9" ht="18">
      <c r="A53" s="29" t="s">
        <v>2</v>
      </c>
      <c r="B53" s="49">
        <v>0</v>
      </c>
      <c r="C53" s="50">
        <v>10.9</v>
      </c>
      <c r="D53" s="51"/>
      <c r="E53" s="1">
        <f>D53/D51*100</f>
        <v>0</v>
      </c>
      <c r="F53" s="117" t="e">
        <f t="shared" si="6"/>
        <v>#DIV/0!</v>
      </c>
      <c r="G53" s="1">
        <f t="shared" si="4"/>
        <v>0</v>
      </c>
      <c r="H53" s="1">
        <f t="shared" si="7"/>
        <v>0</v>
      </c>
      <c r="I53" s="1">
        <f t="shared" si="5"/>
        <v>10.9</v>
      </c>
    </row>
    <row r="54" spans="1:9" ht="18">
      <c r="A54" s="29" t="s">
        <v>1</v>
      </c>
      <c r="B54" s="49">
        <v>84</v>
      </c>
      <c r="C54" s="50">
        <f>189.7+74</f>
        <v>263.7</v>
      </c>
      <c r="D54" s="51">
        <f>1.7+1.5+4.6+9.7+8-0.1+0.1+5.9</f>
        <v>31.4</v>
      </c>
      <c r="E54" s="1">
        <f>D54/D51*100</f>
        <v>0.8611705337063242</v>
      </c>
      <c r="F54" s="1">
        <f t="shared" si="6"/>
        <v>37.38095238095238</v>
      </c>
      <c r="G54" s="1">
        <f t="shared" si="4"/>
        <v>11.907470610542283</v>
      </c>
      <c r="H54" s="1">
        <f t="shared" si="7"/>
        <v>52.6</v>
      </c>
      <c r="I54" s="1">
        <f t="shared" si="5"/>
        <v>232.29999999999998</v>
      </c>
    </row>
    <row r="55" spans="1:9" ht="18">
      <c r="A55" s="29" t="s">
        <v>0</v>
      </c>
      <c r="B55" s="49">
        <v>325.2</v>
      </c>
      <c r="C55" s="50">
        <v>709.9</v>
      </c>
      <c r="D55" s="51">
        <f>1.1+7.6+5.9+0.3+0.2+6.8+0.3+67.1+16.4-0.1+19.5+19.3+76.2+4.5+12.1</f>
        <v>237.20000000000002</v>
      </c>
      <c r="E55" s="1">
        <f>D55/D51*100</f>
        <v>6.505402885195546</v>
      </c>
      <c r="F55" s="1">
        <f t="shared" si="6"/>
        <v>72.93972939729399</v>
      </c>
      <c r="G55" s="1">
        <f t="shared" si="4"/>
        <v>33.413156782645444</v>
      </c>
      <c r="H55" s="1">
        <f t="shared" si="7"/>
        <v>87.99999999999997</v>
      </c>
      <c r="I55" s="1">
        <f t="shared" si="5"/>
        <v>472.69999999999993</v>
      </c>
    </row>
    <row r="56" spans="1:9" ht="18.75" thickBot="1">
      <c r="A56" s="29" t="s">
        <v>35</v>
      </c>
      <c r="B56" s="50">
        <f>B51-B52-B55-B54-B53</f>
        <v>1953.8</v>
      </c>
      <c r="C56" s="50">
        <f>C51-C52-C55-C54-C53</f>
        <v>4494.100000000001</v>
      </c>
      <c r="D56" s="50">
        <f>D51-D52-D55-D54-D53</f>
        <v>1113.5000000000002</v>
      </c>
      <c r="E56" s="1">
        <f>D56/D51*100</f>
        <v>30.538642970764084</v>
      </c>
      <c r="F56" s="1">
        <f t="shared" si="6"/>
        <v>56.991503736308744</v>
      </c>
      <c r="G56" s="1">
        <f t="shared" si="4"/>
        <v>24.776929752341957</v>
      </c>
      <c r="H56" s="1">
        <f t="shared" si="7"/>
        <v>840.2999999999997</v>
      </c>
      <c r="I56" s="1">
        <f>C56-D56</f>
        <v>3380.6000000000013</v>
      </c>
    </row>
    <row r="57" spans="1:9" s="44" customFormat="1" ht="19.5" hidden="1" thickBot="1">
      <c r="A57" s="109" t="s">
        <v>86</v>
      </c>
      <c r="B57" s="107"/>
      <c r="C57" s="107"/>
      <c r="D57" s="107"/>
      <c r="E57" s="1"/>
      <c r="F57" s="108" t="e">
        <f t="shared" si="6"/>
        <v>#DIV/0!</v>
      </c>
      <c r="G57" s="108" t="e">
        <f t="shared" si="4"/>
        <v>#DIV/0!</v>
      </c>
      <c r="H57" s="108">
        <f t="shared" si="7"/>
        <v>0</v>
      </c>
      <c r="I57" s="108">
        <f>C57-D57</f>
        <v>0</v>
      </c>
    </row>
    <row r="58" spans="1:9" ht="18.75" thickBot="1">
      <c r="A58" s="28" t="s">
        <v>6</v>
      </c>
      <c r="B58" s="52">
        <v>781.7</v>
      </c>
      <c r="C58" s="53">
        <f>3033.3+2447.7</f>
        <v>5481</v>
      </c>
      <c r="D58" s="54">
        <f>36.1+65.6+6.5+0.4+1.3+60.3+3+39.2+0.1+14.1+69.1+5.2-0.1+1.8+81+43+6.1+66+42.4+63.1</f>
        <v>604.1999999999999</v>
      </c>
      <c r="E58" s="3">
        <f>D58/D144*100</f>
        <v>0.23871930765869384</v>
      </c>
      <c r="F58" s="3">
        <f>D58/B58*100</f>
        <v>77.29307918638862</v>
      </c>
      <c r="G58" s="3">
        <f t="shared" si="4"/>
        <v>11.023535851122057</v>
      </c>
      <c r="H58" s="3">
        <f>B58-D58</f>
        <v>177.5000000000001</v>
      </c>
      <c r="I58" s="3">
        <f t="shared" si="5"/>
        <v>4876.8</v>
      </c>
    </row>
    <row r="59" spans="1:9" ht="18">
      <c r="A59" s="29" t="s">
        <v>3</v>
      </c>
      <c r="B59" s="49">
        <v>438.1</v>
      </c>
      <c r="C59" s="50">
        <v>1426.1</v>
      </c>
      <c r="D59" s="51">
        <f>36.1+65.6+39.2+69.1+1.8+43+66+41.2</f>
        <v>361.99999999999994</v>
      </c>
      <c r="E59" s="1">
        <f>D59/D58*100</f>
        <v>59.91393578285336</v>
      </c>
      <c r="F59" s="1">
        <f t="shared" si="6"/>
        <v>82.62953663547134</v>
      </c>
      <c r="G59" s="1">
        <f t="shared" si="4"/>
        <v>25.383914171516718</v>
      </c>
      <c r="H59" s="1">
        <f t="shared" si="7"/>
        <v>76.10000000000008</v>
      </c>
      <c r="I59" s="1">
        <f t="shared" si="5"/>
        <v>1064.1</v>
      </c>
    </row>
    <row r="60" spans="1:9" ht="18" hidden="1">
      <c r="A60" s="29" t="s">
        <v>1</v>
      </c>
      <c r="B60" s="49"/>
      <c r="C60" s="50"/>
      <c r="D60" s="51"/>
      <c r="E60" s="1">
        <f>D60/D58*100</f>
        <v>0</v>
      </c>
      <c r="F60" s="117" t="e">
        <f t="shared" si="6"/>
        <v>#DIV/0!</v>
      </c>
      <c r="G60" s="1" t="e">
        <f t="shared" si="4"/>
        <v>#DIV/0!</v>
      </c>
      <c r="H60" s="1">
        <f t="shared" si="7"/>
        <v>0</v>
      </c>
      <c r="I60" s="1">
        <f t="shared" si="5"/>
        <v>0</v>
      </c>
    </row>
    <row r="61" spans="1:9" ht="18">
      <c r="A61" s="29" t="s">
        <v>0</v>
      </c>
      <c r="B61" s="49">
        <f>206.4+10.4</f>
        <v>216.8</v>
      </c>
      <c r="C61" s="50">
        <v>420.8</v>
      </c>
      <c r="D61" s="51">
        <f>1.3+56.1+4.9+63.5+3.5+0.7+63</f>
        <v>193</v>
      </c>
      <c r="E61" s="1">
        <f>D61/D58*100</f>
        <v>31.943065210195304</v>
      </c>
      <c r="F61" s="1">
        <f t="shared" si="6"/>
        <v>89.02214022140221</v>
      </c>
      <c r="G61" s="1">
        <f t="shared" si="4"/>
        <v>45.865019011406844</v>
      </c>
      <c r="H61" s="1">
        <f t="shared" si="7"/>
        <v>23.80000000000001</v>
      </c>
      <c r="I61" s="1">
        <f t="shared" si="5"/>
        <v>227.8</v>
      </c>
    </row>
    <row r="62" spans="1:9" ht="18">
      <c r="A62" s="29" t="s">
        <v>15</v>
      </c>
      <c r="B62" s="49">
        <v>0</v>
      </c>
      <c r="C62" s="50">
        <f>728.9+2400</f>
        <v>3128.9</v>
      </c>
      <c r="D62" s="51"/>
      <c r="E62" s="1">
        <f>D62/D58*100</f>
        <v>0</v>
      </c>
      <c r="F62" s="117" t="e">
        <f t="shared" si="6"/>
        <v>#DIV/0!</v>
      </c>
      <c r="G62" s="1">
        <f t="shared" si="4"/>
        <v>0</v>
      </c>
      <c r="H62" s="1">
        <f t="shared" si="7"/>
        <v>0</v>
      </c>
      <c r="I62" s="1">
        <f t="shared" si="5"/>
        <v>3128.9</v>
      </c>
    </row>
    <row r="63" spans="1:9" ht="18.75" thickBot="1">
      <c r="A63" s="29" t="s">
        <v>35</v>
      </c>
      <c r="B63" s="50">
        <f>B58-B59-B61-B62-B60</f>
        <v>126.80000000000001</v>
      </c>
      <c r="C63" s="50">
        <f>C58-C59-C61-C62-C60</f>
        <v>505.1999999999998</v>
      </c>
      <c r="D63" s="50">
        <f>D58-D59-D61-D62-D60</f>
        <v>49.19999999999999</v>
      </c>
      <c r="E63" s="1">
        <f>D63/D58*100</f>
        <v>8.14299900695134</v>
      </c>
      <c r="F63" s="1">
        <f t="shared" si="6"/>
        <v>38.80126182965299</v>
      </c>
      <c r="G63" s="1">
        <f t="shared" si="4"/>
        <v>9.73871733966746</v>
      </c>
      <c r="H63" s="1">
        <f t="shared" si="7"/>
        <v>77.60000000000002</v>
      </c>
      <c r="I63" s="1">
        <f t="shared" si="5"/>
        <v>455.99999999999983</v>
      </c>
    </row>
    <row r="64" spans="1:9" s="44" customFormat="1" ht="19.5" hidden="1" thickBot="1">
      <c r="A64" s="109" t="s">
        <v>97</v>
      </c>
      <c r="B64" s="107"/>
      <c r="C64" s="107"/>
      <c r="D64" s="107"/>
      <c r="E64" s="108"/>
      <c r="F64" s="108" t="e">
        <f>D64/B64*100</f>
        <v>#DIV/0!</v>
      </c>
      <c r="G64" s="108" t="e">
        <f>D64/C64*100</f>
        <v>#DIV/0!</v>
      </c>
      <c r="H64" s="108">
        <f t="shared" si="7"/>
        <v>0</v>
      </c>
      <c r="I64" s="108">
        <f t="shared" si="5"/>
        <v>0</v>
      </c>
    </row>
    <row r="65" spans="1:9" s="44" customFormat="1" ht="19.5" hidden="1" thickBot="1">
      <c r="A65" s="109" t="s">
        <v>83</v>
      </c>
      <c r="B65" s="107"/>
      <c r="C65" s="107"/>
      <c r="D65" s="107"/>
      <c r="E65" s="108"/>
      <c r="F65" s="108" t="e">
        <f t="shared" si="6"/>
        <v>#DIV/0!</v>
      </c>
      <c r="G65" s="108" t="e">
        <f t="shared" si="4"/>
        <v>#DIV/0!</v>
      </c>
      <c r="H65" s="108">
        <f t="shared" si="7"/>
        <v>0</v>
      </c>
      <c r="I65" s="108">
        <f t="shared" si="5"/>
        <v>0</v>
      </c>
    </row>
    <row r="66" spans="1:9" s="44" customFormat="1" ht="19.5" hidden="1" thickBot="1">
      <c r="A66" s="109" t="s">
        <v>84</v>
      </c>
      <c r="B66" s="107"/>
      <c r="C66" s="107"/>
      <c r="D66" s="107"/>
      <c r="E66" s="108"/>
      <c r="F66" s="108" t="e">
        <f t="shared" si="6"/>
        <v>#DIV/0!</v>
      </c>
      <c r="G66" s="108" t="e">
        <f t="shared" si="4"/>
        <v>#DIV/0!</v>
      </c>
      <c r="H66" s="108">
        <f t="shared" si="7"/>
        <v>0</v>
      </c>
      <c r="I66" s="108">
        <f t="shared" si="5"/>
        <v>0</v>
      </c>
    </row>
    <row r="67" spans="1:9" s="44" customFormat="1" ht="19.5" hidden="1" thickBot="1">
      <c r="A67" s="109" t="s">
        <v>85</v>
      </c>
      <c r="B67" s="107"/>
      <c r="C67" s="107"/>
      <c r="D67" s="107"/>
      <c r="E67" s="108"/>
      <c r="F67" s="108" t="e">
        <f t="shared" si="6"/>
        <v>#DIV/0!</v>
      </c>
      <c r="G67" s="108" t="e">
        <f t="shared" si="4"/>
        <v>#DIV/0!</v>
      </c>
      <c r="H67" s="108">
        <f t="shared" si="7"/>
        <v>0</v>
      </c>
      <c r="I67" s="108">
        <f t="shared" si="5"/>
        <v>0</v>
      </c>
    </row>
    <row r="68" spans="1:9" ht="18.75" thickBot="1">
      <c r="A68" s="28" t="s">
        <v>24</v>
      </c>
      <c r="B68" s="53">
        <f>B69+B70</f>
        <v>262.3</v>
      </c>
      <c r="C68" s="53">
        <f>C69+C70</f>
        <v>493.1</v>
      </c>
      <c r="D68" s="54">
        <f>SUM(D69:D70)</f>
        <v>193.89999999999998</v>
      </c>
      <c r="E68" s="42">
        <f>D68/D144*100</f>
        <v>0.07660985394740273</v>
      </c>
      <c r="F68" s="112">
        <f>D68/B68*100</f>
        <v>73.9229889439573</v>
      </c>
      <c r="G68" s="3">
        <f t="shared" si="4"/>
        <v>39.32265260596227</v>
      </c>
      <c r="H68" s="3">
        <f>B68-D68</f>
        <v>68.40000000000003</v>
      </c>
      <c r="I68" s="3">
        <f t="shared" si="5"/>
        <v>299.20000000000005</v>
      </c>
    </row>
    <row r="69" spans="1:9" ht="18">
      <c r="A69" s="29" t="s">
        <v>8</v>
      </c>
      <c r="B69" s="49">
        <v>204.6</v>
      </c>
      <c r="C69" s="50">
        <v>250.3</v>
      </c>
      <c r="D69" s="51">
        <f>0.2+12.6+73.3+85.8+22</f>
        <v>193.89999999999998</v>
      </c>
      <c r="E69" s="1">
        <f>D69/D68*100</f>
        <v>100</v>
      </c>
      <c r="F69" s="1">
        <f t="shared" si="6"/>
        <v>94.7702834799609</v>
      </c>
      <c r="G69" s="1">
        <f t="shared" si="4"/>
        <v>77.46703955253695</v>
      </c>
      <c r="H69" s="1">
        <f t="shared" si="7"/>
        <v>10.700000000000017</v>
      </c>
      <c r="I69" s="1">
        <f t="shared" si="5"/>
        <v>56.400000000000034</v>
      </c>
    </row>
    <row r="70" spans="1:9" ht="18.75" thickBot="1">
      <c r="A70" s="29" t="s">
        <v>9</v>
      </c>
      <c r="B70" s="49">
        <v>57.7</v>
      </c>
      <c r="C70" s="50">
        <v>242.8</v>
      </c>
      <c r="D70" s="51"/>
      <c r="E70" s="1">
        <f>D70/D69*100</f>
        <v>0</v>
      </c>
      <c r="F70" s="117">
        <f t="shared" si="6"/>
        <v>0</v>
      </c>
      <c r="G70" s="117">
        <f t="shared" si="4"/>
        <v>0</v>
      </c>
      <c r="H70" s="1">
        <f t="shared" si="7"/>
        <v>57.7</v>
      </c>
      <c r="I70" s="1">
        <f t="shared" si="5"/>
        <v>242.8</v>
      </c>
    </row>
    <row r="71" spans="1:9" ht="38.25" hidden="1" thickBot="1">
      <c r="A71" s="14" t="s">
        <v>51</v>
      </c>
      <c r="B71" s="61"/>
      <c r="C71" s="53">
        <f>C72+C73+C74+C75</f>
        <v>0</v>
      </c>
      <c r="D71" s="53">
        <f>D72+D73+D74+D75</f>
        <v>0</v>
      </c>
      <c r="E71" s="3">
        <f>D71/D144*100</f>
        <v>0</v>
      </c>
      <c r="F71" s="3" t="e">
        <f>D71/B71*100</f>
        <v>#DIV/0!</v>
      </c>
      <c r="G71" s="3" t="e">
        <f t="shared" si="4"/>
        <v>#DIV/0!</v>
      </c>
      <c r="H71" s="3">
        <f>B71-D71</f>
        <v>0</v>
      </c>
      <c r="I71" s="3">
        <f t="shared" si="5"/>
        <v>0</v>
      </c>
    </row>
    <row r="72" spans="1:9" ht="19.5" hidden="1" thickBot="1">
      <c r="A72" s="23" t="s">
        <v>57</v>
      </c>
      <c r="B72" s="58"/>
      <c r="C72" s="65"/>
      <c r="D72" s="56"/>
      <c r="E72" s="37" t="e">
        <f>D72/D71*100</f>
        <v>#DIV/0!</v>
      </c>
      <c r="F72" s="1" t="e">
        <f t="shared" si="6"/>
        <v>#DIV/0!</v>
      </c>
      <c r="G72" s="1" t="e">
        <f t="shared" si="4"/>
        <v>#DIV/0!</v>
      </c>
      <c r="H72" s="1">
        <f t="shared" si="7"/>
        <v>0</v>
      </c>
      <c r="I72" s="1">
        <f t="shared" si="5"/>
        <v>0</v>
      </c>
    </row>
    <row r="73" spans="1:9" ht="19.5" hidden="1" thickBot="1">
      <c r="A73" s="23" t="s">
        <v>58</v>
      </c>
      <c r="B73" s="58"/>
      <c r="C73" s="65"/>
      <c r="D73" s="56"/>
      <c r="E73" s="37" t="e">
        <f>D73/D71*100</f>
        <v>#DIV/0!</v>
      </c>
      <c r="F73" s="1" t="e">
        <f t="shared" si="6"/>
        <v>#DIV/0!</v>
      </c>
      <c r="G73" s="1" t="e">
        <f t="shared" si="4"/>
        <v>#DIV/0!</v>
      </c>
      <c r="H73" s="1">
        <f t="shared" si="7"/>
        <v>0</v>
      </c>
      <c r="I73" s="1">
        <f t="shared" si="5"/>
        <v>0</v>
      </c>
    </row>
    <row r="74" spans="1:9" ht="19.5" hidden="1" thickBot="1">
      <c r="A74" s="30" t="s">
        <v>42</v>
      </c>
      <c r="B74" s="66"/>
      <c r="C74" s="67"/>
      <c r="D74" s="68"/>
      <c r="E74" s="37" t="e">
        <f>D74/D71*100</f>
        <v>#DIV/0!</v>
      </c>
      <c r="F74" s="37"/>
      <c r="G74" s="1" t="e">
        <f t="shared" si="4"/>
        <v>#DIV/0!</v>
      </c>
      <c r="H74" s="1"/>
      <c r="I74" s="1">
        <f t="shared" si="5"/>
        <v>0</v>
      </c>
    </row>
    <row r="75" spans="1:9" ht="19.5" hidden="1" thickBot="1">
      <c r="A75" s="30" t="s">
        <v>52</v>
      </c>
      <c r="B75" s="66"/>
      <c r="C75" s="67"/>
      <c r="D75" s="68"/>
      <c r="E75" s="37" t="e">
        <f>D75/D71*100</f>
        <v>#DIV/0!</v>
      </c>
      <c r="F75" s="37"/>
      <c r="G75" s="1" t="e">
        <f t="shared" si="4"/>
        <v>#DIV/0!</v>
      </c>
      <c r="H75" s="1"/>
      <c r="I75" s="1">
        <f t="shared" si="5"/>
        <v>0</v>
      </c>
    </row>
    <row r="76" spans="1:9" s="44" customFormat="1" ht="19.5" thickBot="1">
      <c r="A76" s="31" t="s">
        <v>14</v>
      </c>
      <c r="B76" s="62">
        <v>2219.8</v>
      </c>
      <c r="C76" s="69">
        <f>10000-6127.8</f>
        <v>3872.2</v>
      </c>
      <c r="D76" s="70"/>
      <c r="E76" s="48"/>
      <c r="F76" s="48"/>
      <c r="G76" s="48"/>
      <c r="H76" s="48">
        <f>B76-D76</f>
        <v>2219.8</v>
      </c>
      <c r="I76" s="48">
        <f t="shared" si="5"/>
        <v>3872.2</v>
      </c>
    </row>
    <row r="77" spans="1:9" ht="8.25" customHeight="1" thickBot="1">
      <c r="A77" s="23"/>
      <c r="B77" s="58"/>
      <c r="C77" s="67"/>
      <c r="D77" s="68"/>
      <c r="E77" s="6"/>
      <c r="F77" s="6"/>
      <c r="G77" s="6"/>
      <c r="H77" s="6"/>
      <c r="I77" s="13"/>
    </row>
    <row r="78" spans="1:9" ht="18.75" customHeight="1" hidden="1" thickBot="1">
      <c r="A78" s="14" t="s">
        <v>77</v>
      </c>
      <c r="B78" s="61"/>
      <c r="C78" s="53">
        <f>C79+C80</f>
        <v>0</v>
      </c>
      <c r="D78" s="53">
        <f>D79+D80</f>
        <v>0</v>
      </c>
      <c r="E78" s="3">
        <f>D78/D144*100</f>
        <v>0</v>
      </c>
      <c r="F78" s="3" t="e">
        <f>D78/B78*100</f>
        <v>#DIV/0!</v>
      </c>
      <c r="G78" s="3" t="e">
        <f aca="true" t="shared" si="8" ref="G78:G92">D78/C78*100</f>
        <v>#DIV/0!</v>
      </c>
      <c r="H78" s="3">
        <f>B78-D78</f>
        <v>0</v>
      </c>
      <c r="I78" s="3">
        <f aca="true" t="shared" si="9" ref="I78:I92">C78-D78</f>
        <v>0</v>
      </c>
    </row>
    <row r="79" spans="1:9" s="8" customFormat="1" ht="18.75" hidden="1" thickBot="1">
      <c r="A79" s="9" t="s">
        <v>76</v>
      </c>
      <c r="B79" s="71"/>
      <c r="C79" s="50">
        <f>50-50</f>
        <v>0</v>
      </c>
      <c r="D79" s="51"/>
      <c r="E79" s="106"/>
      <c r="F79" s="1" t="e">
        <f>D79/B79*100</f>
        <v>#DIV/0!</v>
      </c>
      <c r="G79" s="1" t="e">
        <f t="shared" si="8"/>
        <v>#DIV/0!</v>
      </c>
      <c r="H79" s="1">
        <f>B79-D79</f>
        <v>0</v>
      </c>
      <c r="I79" s="1">
        <f t="shared" si="9"/>
        <v>0</v>
      </c>
    </row>
    <row r="80" spans="1:9" s="8" customFormat="1" ht="31.5" hidden="1" thickBot="1">
      <c r="A80" s="9" t="s">
        <v>69</v>
      </c>
      <c r="B80" s="71"/>
      <c r="C80" s="50"/>
      <c r="D80" s="51"/>
      <c r="E80" s="106"/>
      <c r="F80" s="1" t="e">
        <f>D80/B80*100</f>
        <v>#DIV/0!</v>
      </c>
      <c r="G80" s="1" t="e">
        <f t="shared" si="8"/>
        <v>#DIV/0!</v>
      </c>
      <c r="H80" s="1">
        <f>B80-D80</f>
        <v>0</v>
      </c>
      <c r="I80" s="1">
        <f t="shared" si="9"/>
        <v>0</v>
      </c>
    </row>
    <row r="81" spans="1:9" s="8" customFormat="1" ht="16.5" customHeight="1" hidden="1">
      <c r="A81" s="9" t="s">
        <v>41</v>
      </c>
      <c r="B81" s="71"/>
      <c r="C81" s="50"/>
      <c r="D81" s="51"/>
      <c r="E81" s="1" t="e">
        <f>D81/D78*100</f>
        <v>#DIV/0!</v>
      </c>
      <c r="F81" s="1"/>
      <c r="G81" s="1" t="e">
        <f t="shared" si="8"/>
        <v>#DIV/0!</v>
      </c>
      <c r="H81" s="1"/>
      <c r="I81" s="1">
        <f t="shared" si="9"/>
        <v>0</v>
      </c>
    </row>
    <row r="82" spans="1:9" s="8" customFormat="1" ht="33" customHeight="1" hidden="1" thickBot="1">
      <c r="A82" s="9" t="s">
        <v>48</v>
      </c>
      <c r="B82" s="71"/>
      <c r="C82" s="50"/>
      <c r="D82" s="50"/>
      <c r="E82" s="1" t="e">
        <f>D82/D78*100</f>
        <v>#DIV/0!</v>
      </c>
      <c r="F82" s="1"/>
      <c r="G82" s="1" t="e">
        <f t="shared" si="8"/>
        <v>#DIV/0!</v>
      </c>
      <c r="H82" s="1"/>
      <c r="I82" s="1">
        <f t="shared" si="9"/>
        <v>0</v>
      </c>
    </row>
    <row r="83" spans="1:9" ht="35.25" customHeight="1" hidden="1" thickBot="1">
      <c r="A83" s="14" t="s">
        <v>43</v>
      </c>
      <c r="B83" s="61"/>
      <c r="C83" s="53">
        <f>C84+C85</f>
        <v>0</v>
      </c>
      <c r="D83" s="53">
        <f>D84+D85</f>
        <v>0</v>
      </c>
      <c r="E83" s="3">
        <f>D83/D144*100</f>
        <v>0</v>
      </c>
      <c r="F83" s="3"/>
      <c r="G83" s="3" t="e">
        <f t="shared" si="8"/>
        <v>#DIV/0!</v>
      </c>
      <c r="H83" s="3"/>
      <c r="I83" s="3">
        <f t="shared" si="9"/>
        <v>0</v>
      </c>
    </row>
    <row r="84" spans="1:9" ht="16.5" customHeight="1" hidden="1">
      <c r="A84" s="29" t="s">
        <v>30</v>
      </c>
      <c r="B84" s="49"/>
      <c r="C84" s="67"/>
      <c r="D84" s="67"/>
      <c r="E84" s="6" t="e">
        <f>D84/D83*100</f>
        <v>#DIV/0!</v>
      </c>
      <c r="F84" s="6"/>
      <c r="G84" s="6" t="e">
        <f t="shared" si="8"/>
        <v>#DIV/0!</v>
      </c>
      <c r="H84" s="6"/>
      <c r="I84" s="1">
        <f t="shared" si="9"/>
        <v>0</v>
      </c>
    </row>
    <row r="85" spans="1:9" ht="16.5" customHeight="1" hidden="1" thickBot="1">
      <c r="A85" s="29" t="s">
        <v>31</v>
      </c>
      <c r="B85" s="49"/>
      <c r="C85" s="67"/>
      <c r="D85" s="67"/>
      <c r="E85" s="6" t="e">
        <f>D85/D83*100</f>
        <v>#DIV/0!</v>
      </c>
      <c r="F85" s="6"/>
      <c r="G85" s="6" t="e">
        <f t="shared" si="8"/>
        <v>#DIV/0!</v>
      </c>
      <c r="H85" s="6"/>
      <c r="I85" s="1">
        <f t="shared" si="9"/>
        <v>0</v>
      </c>
    </row>
    <row r="86" spans="1:9" ht="34.5" customHeight="1" hidden="1" thickBot="1">
      <c r="A86" s="14" t="s">
        <v>44</v>
      </c>
      <c r="B86" s="61"/>
      <c r="C86" s="53">
        <f>SUM(C87:C88)</f>
        <v>0</v>
      </c>
      <c r="D86" s="53">
        <f>SUM(D87:D88)</f>
        <v>0</v>
      </c>
      <c r="E86" s="3">
        <f>D86/D144*100</f>
        <v>0</v>
      </c>
      <c r="F86" s="3"/>
      <c r="G86" s="3" t="e">
        <f t="shared" si="8"/>
        <v>#DIV/0!</v>
      </c>
      <c r="H86" s="3"/>
      <c r="I86" s="3">
        <f t="shared" si="9"/>
        <v>0</v>
      </c>
    </row>
    <row r="87" spans="1:9" ht="17.25" customHeight="1" hidden="1">
      <c r="A87" s="29" t="s">
        <v>30</v>
      </c>
      <c r="B87" s="49"/>
      <c r="C87" s="50"/>
      <c r="D87" s="51"/>
      <c r="E87" s="1" t="e">
        <f>D87/D86*100</f>
        <v>#DIV/0!</v>
      </c>
      <c r="F87" s="1"/>
      <c r="G87" s="1" t="e">
        <f t="shared" si="8"/>
        <v>#DIV/0!</v>
      </c>
      <c r="H87" s="1"/>
      <c r="I87" s="1">
        <f t="shared" si="9"/>
        <v>0</v>
      </c>
    </row>
    <row r="88" spans="1:9" ht="17.25" customHeight="1" hidden="1" thickBot="1">
      <c r="A88" s="29" t="s">
        <v>31</v>
      </c>
      <c r="B88" s="49"/>
      <c r="C88" s="50"/>
      <c r="D88" s="51"/>
      <c r="E88" s="1" t="e">
        <f>D88/D86*100</f>
        <v>#DIV/0!</v>
      </c>
      <c r="F88" s="1"/>
      <c r="G88" s="1" t="e">
        <f t="shared" si="8"/>
        <v>#DIV/0!</v>
      </c>
      <c r="H88" s="1"/>
      <c r="I88" s="1">
        <f t="shared" si="9"/>
        <v>0</v>
      </c>
    </row>
    <row r="89" spans="1:9" ht="19.5" thickBot="1">
      <c r="A89" s="14" t="s">
        <v>10</v>
      </c>
      <c r="B89" s="61">
        <f>16819.7+70.7+110</f>
        <v>17000.4</v>
      </c>
      <c r="C89" s="53">
        <f>47925.9+539.6+110</f>
        <v>48575.5</v>
      </c>
      <c r="D89" s="54">
        <f>1173.8+37.3+101.8+9.7+15.1+2.5+6.1+25.2+161.9+1262.3+173.1+14.9+67.5+0.1+74.5+11.5+2+20+14.7+81.5+461.2+565+206.1+3.2+46+0.8+6.5+50.6+455+1286.2+183.8+1.4+2.9+4.4+5+70+1+29.9+1080.9+235.9+65.5+15.2+11.7+17.8+127.4+5.9+235.8+346.5+449.1+1232.7+152.1+18.3-0.1+74.1+126.4+78.5+135.2+24.8+185.4+336.2+271.3+833.9+12.9+76.3+32.5+2.3+24.2</f>
        <v>12843.199999999995</v>
      </c>
      <c r="E89" s="3">
        <f>D89/D144*100</f>
        <v>5.074345932012803</v>
      </c>
      <c r="F89" s="3">
        <f aca="true" t="shared" si="10" ref="F89:F95">D89/B89*100</f>
        <v>75.54645773040632</v>
      </c>
      <c r="G89" s="3">
        <f t="shared" si="8"/>
        <v>26.4396660868133</v>
      </c>
      <c r="H89" s="3">
        <f aca="true" t="shared" si="11" ref="H89:H95">B89-D89</f>
        <v>4157.200000000006</v>
      </c>
      <c r="I89" s="3">
        <f t="shared" si="9"/>
        <v>35732.3</v>
      </c>
    </row>
    <row r="90" spans="1:9" ht="18">
      <c r="A90" s="29" t="s">
        <v>3</v>
      </c>
      <c r="B90" s="49">
        <f>13055.3+83.8</f>
        <v>13139.099999999999</v>
      </c>
      <c r="C90" s="50">
        <v>39638</v>
      </c>
      <c r="D90" s="51">
        <f>1167.3+36.1+0.8+0.4+161.9+1233.6+154.1+3-0.1+4.3+0.5+8.4+3.9+81.5+433.3+525.7+205+5.2+9.3+444.2+1273.5+170.1+45.1+1046.6+229.9+0.1+3.7+172.5+333.2+439.7+1159+4.9+64+21.3+13.4+112.1+148.4+247.6+806.2+6.7+4.6+6.9</f>
        <v>10787.900000000001</v>
      </c>
      <c r="E90" s="1">
        <f>D90/D89*100</f>
        <v>83.9969789460571</v>
      </c>
      <c r="F90" s="1">
        <f t="shared" si="10"/>
        <v>82.10531923799958</v>
      </c>
      <c r="G90" s="1">
        <f t="shared" si="8"/>
        <v>27.21605530046925</v>
      </c>
      <c r="H90" s="1">
        <f t="shared" si="11"/>
        <v>2351.199999999997</v>
      </c>
      <c r="I90" s="1">
        <f t="shared" si="9"/>
        <v>28850.1</v>
      </c>
    </row>
    <row r="91" spans="1:9" ht="18">
      <c r="A91" s="29" t="s">
        <v>33</v>
      </c>
      <c r="B91" s="49">
        <f>1196.4+3</f>
        <v>1199.4</v>
      </c>
      <c r="C91" s="50">
        <v>2406.5</v>
      </c>
      <c r="D91" s="51">
        <f>15.4+0.6+1.6+3.7+2.5+4.3+0.4+4.2+0.8+56.6+102.4+16.1+0.1+47.1+29.8+64+59.3+87.7+34.7+0.6</f>
        <v>531.9</v>
      </c>
      <c r="E91" s="1">
        <f>D91/D89*100</f>
        <v>4.141491217142146</v>
      </c>
      <c r="F91" s="1">
        <f t="shared" si="10"/>
        <v>44.347173586793396</v>
      </c>
      <c r="G91" s="1">
        <f t="shared" si="8"/>
        <v>22.102638686889673</v>
      </c>
      <c r="H91" s="1">
        <f t="shared" si="11"/>
        <v>667.5000000000001</v>
      </c>
      <c r="I91" s="1">
        <f t="shared" si="9"/>
        <v>1874.6</v>
      </c>
    </row>
    <row r="92" spans="1:9" ht="18" hidden="1">
      <c r="A92" s="29" t="s">
        <v>15</v>
      </c>
      <c r="B92" s="49"/>
      <c r="C92" s="50"/>
      <c r="D92" s="50"/>
      <c r="E92" s="12">
        <f>D92/D89*100</f>
        <v>0</v>
      </c>
      <c r="F92" s="1"/>
      <c r="G92" s="1" t="e">
        <f t="shared" si="8"/>
        <v>#DIV/0!</v>
      </c>
      <c r="H92" s="1">
        <f t="shared" si="11"/>
        <v>0</v>
      </c>
      <c r="I92" s="1">
        <f t="shared" si="9"/>
        <v>0</v>
      </c>
    </row>
    <row r="93" spans="1:9" ht="18.75" thickBot="1">
      <c r="A93" s="126" t="s">
        <v>35</v>
      </c>
      <c r="B93" s="127">
        <f>B89-B90-B91-B92</f>
        <v>2661.900000000003</v>
      </c>
      <c r="C93" s="127">
        <f>C89-C90-C91-C92</f>
        <v>6531</v>
      </c>
      <c r="D93" s="127">
        <f>D89-D90-D91-D92</f>
        <v>1523.3999999999937</v>
      </c>
      <c r="E93" s="128">
        <f>D93/D89*100</f>
        <v>11.861529836800752</v>
      </c>
      <c r="F93" s="128">
        <f t="shared" si="10"/>
        <v>57.22979826439732</v>
      </c>
      <c r="G93" s="128">
        <f>D93/C93*100</f>
        <v>23.32567753789609</v>
      </c>
      <c r="H93" s="128">
        <f t="shared" si="11"/>
        <v>1138.500000000009</v>
      </c>
      <c r="I93" s="128">
        <f>C93-D93</f>
        <v>5007.600000000006</v>
      </c>
    </row>
    <row r="94" spans="1:9" ht="18.75">
      <c r="A94" s="135" t="s">
        <v>12</v>
      </c>
      <c r="B94" s="140">
        <v>19830.6</v>
      </c>
      <c r="C94" s="142">
        <f>48638.3+1900</f>
        <v>50538.3</v>
      </c>
      <c r="D94" s="141">
        <f>3479.6+8.1+4.1+53.2+1101.8+1997.1+228.6+3048.1+0.1+314.6+1021.4+1907+2.5+299.7+94.1+2183.5+8+2623.6+342.3+2.2+8.5+1.3+1.6+10.6+34.2+57.7+70.3</f>
        <v>18903.8</v>
      </c>
      <c r="E94" s="134">
        <f>D94/D144*100</f>
        <v>7.4688878651413715</v>
      </c>
      <c r="F94" s="138">
        <f t="shared" si="10"/>
        <v>95.3264147327867</v>
      </c>
      <c r="G94" s="125">
        <f>D94/C94*100</f>
        <v>37.40489885888524</v>
      </c>
      <c r="H94" s="139">
        <f t="shared" si="11"/>
        <v>926.7999999999993</v>
      </c>
      <c r="I94" s="134">
        <f>C94-D94</f>
        <v>31634.500000000004</v>
      </c>
    </row>
    <row r="95" spans="1:9" ht="18.75" thickBot="1">
      <c r="A95" s="136" t="s">
        <v>110</v>
      </c>
      <c r="B95" s="143">
        <v>1542</v>
      </c>
      <c r="C95" s="144">
        <v>4853.7</v>
      </c>
      <c r="D95" s="145">
        <f>600+69+9+48.5+2.5+299.7+50.5+190.4+1.3+10.6+6.7</f>
        <v>1288.2</v>
      </c>
      <c r="E95" s="146">
        <f>D95/D94*100</f>
        <v>6.8145029041779965</v>
      </c>
      <c r="F95" s="147">
        <f t="shared" si="10"/>
        <v>83.54085603112841</v>
      </c>
      <c r="G95" s="148">
        <f>D95/C95*100</f>
        <v>26.540577291550775</v>
      </c>
      <c r="H95" s="137">
        <f t="shared" si="11"/>
        <v>253.79999999999995</v>
      </c>
      <c r="I95" s="96">
        <f>C95-D95</f>
        <v>3565.5</v>
      </c>
    </row>
    <row r="96" spans="1:9" ht="8.25" customHeight="1" thickBot="1">
      <c r="A96" s="129"/>
      <c r="B96" s="130"/>
      <c r="C96" s="131"/>
      <c r="D96" s="132"/>
      <c r="E96" s="133"/>
      <c r="F96" s="133"/>
      <c r="G96" s="133"/>
      <c r="H96" s="133"/>
      <c r="I96" s="133"/>
    </row>
    <row r="97" spans="1:9" ht="19.5" hidden="1" thickBot="1">
      <c r="A97" s="33" t="s">
        <v>46</v>
      </c>
      <c r="B97" s="75"/>
      <c r="C97" s="76"/>
      <c r="D97" s="77"/>
      <c r="E97" s="3">
        <f>D97/D144*100</f>
        <v>0</v>
      </c>
      <c r="F97" s="3"/>
      <c r="G97" s="3" t="e">
        <f>D97/C97*100</f>
        <v>#DIV/0!</v>
      </c>
      <c r="H97" s="3"/>
      <c r="I97" s="3">
        <f>C97-D97</f>
        <v>0</v>
      </c>
    </row>
    <row r="98" spans="1:9" ht="5.25" customHeight="1" hidden="1" thickBot="1">
      <c r="A98" s="32"/>
      <c r="B98" s="72"/>
      <c r="C98" s="73"/>
      <c r="D98" s="74"/>
      <c r="E98" s="15"/>
      <c r="F98" s="6"/>
      <c r="G98" s="6"/>
      <c r="H98" s="6"/>
      <c r="I98" s="13"/>
    </row>
    <row r="99" spans="1:9" s="16" customFormat="1" ht="36" customHeight="1" hidden="1" thickBot="1">
      <c r="A99" s="14" t="s">
        <v>66</v>
      </c>
      <c r="B99" s="61"/>
      <c r="C99" s="53"/>
      <c r="D99" s="54"/>
      <c r="E99" s="3">
        <f>D99/D144*100</f>
        <v>0</v>
      </c>
      <c r="F99" s="3" t="e">
        <f>D99/B99*100</f>
        <v>#DIV/0!</v>
      </c>
      <c r="G99" s="3" t="e">
        <f>D99/C99*100</f>
        <v>#DIV/0!</v>
      </c>
      <c r="H99" s="3">
        <f>B99-D99</f>
        <v>0</v>
      </c>
      <c r="I99" s="3">
        <f>C99-D99</f>
        <v>0</v>
      </c>
    </row>
    <row r="100" spans="1:9" ht="6.75" customHeight="1" hidden="1" thickBot="1">
      <c r="A100" s="114"/>
      <c r="B100" s="115"/>
      <c r="C100" s="73"/>
      <c r="D100" s="74"/>
      <c r="E100" s="15"/>
      <c r="F100" s="6"/>
      <c r="G100" s="6"/>
      <c r="H100" s="6"/>
      <c r="I100" s="13"/>
    </row>
    <row r="101" spans="1:9" s="44" customFormat="1" ht="19.5" thickBot="1">
      <c r="A101" s="14" t="s">
        <v>11</v>
      </c>
      <c r="B101" s="61">
        <f>2639.7-5.4</f>
        <v>2634.2999999999997</v>
      </c>
      <c r="C101" s="105">
        <f>6061.2+4589.8-16.4</f>
        <v>10634.6</v>
      </c>
      <c r="D101" s="90">
        <f>110.5+80.7+66.2+55.7+33+106.8+21.7+2.2+3.9+0.4+5.9+27.7+127.6+1.1+13.8+50.2+3.3+23.2+111+21.4+3.2+5.8+132.8+36.6+20.9+0.1+13.6+84.8+20.8+33.6+130.7+63.1</f>
        <v>1412.2999999999995</v>
      </c>
      <c r="E101" s="25">
        <f>D101/D144*100</f>
        <v>0.5579994674054505</v>
      </c>
      <c r="F101" s="25">
        <f>D101/B101*100</f>
        <v>53.611965227954286</v>
      </c>
      <c r="G101" s="25">
        <f aca="true" t="shared" si="12" ref="G101:G142">D101/C101*100</f>
        <v>13.280236210106628</v>
      </c>
      <c r="H101" s="25">
        <f aca="true" t="shared" si="13" ref="H101:H106">B101-D101</f>
        <v>1222.0000000000002</v>
      </c>
      <c r="I101" s="25">
        <f aca="true" t="shared" si="14" ref="I101:I142">C101-D101</f>
        <v>9222.300000000001</v>
      </c>
    </row>
    <row r="102" spans="1:9" ht="18" hidden="1">
      <c r="A102" s="91" t="s">
        <v>64</v>
      </c>
      <c r="B102" s="101"/>
      <c r="C102" s="99"/>
      <c r="D102" s="99"/>
      <c r="E102" s="95">
        <f>D102/D101*100</f>
        <v>0</v>
      </c>
      <c r="F102" s="117" t="e">
        <f>D102/B102*100</f>
        <v>#DIV/0!</v>
      </c>
      <c r="G102" s="95" t="e">
        <f>D102/C102*100</f>
        <v>#DIV/0!</v>
      </c>
      <c r="H102" s="95">
        <f t="shared" si="13"/>
        <v>0</v>
      </c>
      <c r="I102" s="95">
        <f t="shared" si="14"/>
        <v>0</v>
      </c>
    </row>
    <row r="103" spans="1:9" ht="18">
      <c r="A103" s="97" t="s">
        <v>63</v>
      </c>
      <c r="B103" s="81">
        <f>2382-5.4</f>
        <v>2376.6</v>
      </c>
      <c r="C103" s="51">
        <f>5036.9+4586-16.4</f>
        <v>9606.5</v>
      </c>
      <c r="D103" s="51">
        <f>110.3+80.7+66.2+32.9+19.7+106.6+21.7+3.9+5.8+27.6+127.6+1.1+0.1+13.7+10.7+3.3+110.8+21.4+3.1+2+132.8+20.9+0.1+78+20.6+33.3+130.5+62.7</f>
        <v>1248.1000000000001</v>
      </c>
      <c r="E103" s="1">
        <f>D103/D101*100</f>
        <v>88.37357501947183</v>
      </c>
      <c r="F103" s="1">
        <f aca="true" t="shared" si="15" ref="F103:F142">D103/B103*100</f>
        <v>52.51619961289238</v>
      </c>
      <c r="G103" s="1">
        <f t="shared" si="12"/>
        <v>12.992244834226826</v>
      </c>
      <c r="H103" s="1">
        <f t="shared" si="13"/>
        <v>1128.4999999999998</v>
      </c>
      <c r="I103" s="1">
        <f t="shared" si="14"/>
        <v>8358.4</v>
      </c>
    </row>
    <row r="104" spans="1:9" ht="54.75" hidden="1" thickBot="1">
      <c r="A104" s="98" t="s">
        <v>101</v>
      </c>
      <c r="B104" s="100"/>
      <c r="C104" s="100"/>
      <c r="D104" s="100"/>
      <c r="E104" s="96">
        <f>D104/D101*100</f>
        <v>0</v>
      </c>
      <c r="F104" s="96" t="e">
        <f>D104/B104*100</f>
        <v>#DIV/0!</v>
      </c>
      <c r="G104" s="96" t="e">
        <f>D104/C104*100</f>
        <v>#DIV/0!</v>
      </c>
      <c r="H104" s="96">
        <f t="shared" si="13"/>
        <v>0</v>
      </c>
      <c r="I104" s="96">
        <f>C104-D104</f>
        <v>0</v>
      </c>
    </row>
    <row r="105" spans="1:9" ht="18.75" thickBot="1">
      <c r="A105" s="98" t="s">
        <v>35</v>
      </c>
      <c r="B105" s="100">
        <f>B101-B102-B103</f>
        <v>257.6999999999998</v>
      </c>
      <c r="C105" s="100">
        <f>C101-C102-C103</f>
        <v>1028.1000000000004</v>
      </c>
      <c r="D105" s="100">
        <f>D101-D102-D103</f>
        <v>164.19999999999936</v>
      </c>
      <c r="E105" s="96">
        <f>D105/D101*100</f>
        <v>11.626424980528176</v>
      </c>
      <c r="F105" s="96">
        <f t="shared" si="15"/>
        <v>63.71750097012009</v>
      </c>
      <c r="G105" s="96">
        <f t="shared" si="12"/>
        <v>15.971209026359237</v>
      </c>
      <c r="H105" s="96">
        <f>B105-D105</f>
        <v>93.50000000000045</v>
      </c>
      <c r="I105" s="96">
        <f t="shared" si="14"/>
        <v>863.900000000001</v>
      </c>
    </row>
    <row r="106" spans="1:9" s="2" customFormat="1" ht="26.25" customHeight="1" thickBot="1">
      <c r="A106" s="92" t="s">
        <v>36</v>
      </c>
      <c r="B106" s="93">
        <f>SUM(B107:B141)-B114-B118+B142-B134-B135-B108-B111-B121-B122-B132</f>
        <v>62316.399999999994</v>
      </c>
      <c r="C106" s="93">
        <f>SUM(C107:C141)-C114-C118+C142-C134-C135-C108-C111-C121-C122-C132</f>
        <v>149159.8</v>
      </c>
      <c r="D106" s="93">
        <f>SUM(D107:D141)-D114-D118+D142-D134-D135-D108-D111-D121-D122-D132</f>
        <v>47811.2</v>
      </c>
      <c r="E106" s="94">
        <f>D106/D144*100</f>
        <v>18.890196230273652</v>
      </c>
      <c r="F106" s="94">
        <f>D106/B106*100</f>
        <v>76.72330237305107</v>
      </c>
      <c r="G106" s="94">
        <f t="shared" si="12"/>
        <v>32.05367666086975</v>
      </c>
      <c r="H106" s="94">
        <f t="shared" si="13"/>
        <v>14505.199999999997</v>
      </c>
      <c r="I106" s="94">
        <f t="shared" si="14"/>
        <v>101348.59999999999</v>
      </c>
    </row>
    <row r="107" spans="1:9" ht="37.5">
      <c r="A107" s="34" t="s">
        <v>67</v>
      </c>
      <c r="B107" s="78">
        <v>869.3</v>
      </c>
      <c r="C107" s="74">
        <f>1662.5+137.3</f>
        <v>1799.8</v>
      </c>
      <c r="D107" s="79">
        <f>114.2+9+1.8-0.1+90.7+22.4+38.1+76.9+3.3+8.3+1.4+33.8+39+2.5+0.1+67.3+0.2+4+0.9+2.5</f>
        <v>516.3000000000001</v>
      </c>
      <c r="E107" s="6">
        <f>D107/D106*100</f>
        <v>1.0798724984940768</v>
      </c>
      <c r="F107" s="6">
        <f t="shared" si="15"/>
        <v>59.392614747497994</v>
      </c>
      <c r="G107" s="6">
        <f t="shared" si="12"/>
        <v>28.68652072452495</v>
      </c>
      <c r="H107" s="6">
        <f aca="true" t="shared" si="16" ref="H107:H142">B107-D107</f>
        <v>352.9999999999999</v>
      </c>
      <c r="I107" s="6">
        <f t="shared" si="14"/>
        <v>1283.5</v>
      </c>
    </row>
    <row r="108" spans="1:9" ht="18">
      <c r="A108" s="29" t="s">
        <v>33</v>
      </c>
      <c r="B108" s="81">
        <v>405.7</v>
      </c>
      <c r="C108" s="51">
        <v>823.7</v>
      </c>
      <c r="D108" s="82">
        <f>96.8+90.7+64.1+48.5</f>
        <v>300.1</v>
      </c>
      <c r="E108" s="1"/>
      <c r="F108" s="1">
        <f t="shared" si="15"/>
        <v>73.97091446881933</v>
      </c>
      <c r="G108" s="1">
        <f t="shared" si="12"/>
        <v>36.43316741532111</v>
      </c>
      <c r="H108" s="1">
        <f t="shared" si="16"/>
        <v>105.59999999999997</v>
      </c>
      <c r="I108" s="1">
        <f t="shared" si="14"/>
        <v>523.6</v>
      </c>
    </row>
    <row r="109" spans="1:9" ht="34.5" customHeight="1">
      <c r="A109" s="17" t="s">
        <v>100</v>
      </c>
      <c r="B109" s="80">
        <v>303</v>
      </c>
      <c r="C109" s="68">
        <v>903.8</v>
      </c>
      <c r="D109" s="79">
        <f>20.7+31.6+0.1+27.7</f>
        <v>80.1</v>
      </c>
      <c r="E109" s="6">
        <f>D109/D106*100</f>
        <v>0.16753396693661737</v>
      </c>
      <c r="F109" s="6">
        <f>D109/B109*100</f>
        <v>26.435643564356432</v>
      </c>
      <c r="G109" s="6">
        <f t="shared" si="12"/>
        <v>8.862580216862137</v>
      </c>
      <c r="H109" s="6">
        <f t="shared" si="16"/>
        <v>222.9</v>
      </c>
      <c r="I109" s="6">
        <f t="shared" si="14"/>
        <v>823.6999999999999</v>
      </c>
    </row>
    <row r="110" spans="1:9" s="44" customFormat="1" ht="34.5" customHeight="1">
      <c r="A110" s="17" t="s">
        <v>75</v>
      </c>
      <c r="B110" s="80">
        <v>39.5</v>
      </c>
      <c r="C110" s="60">
        <f>71.8+12.8</f>
        <v>84.6</v>
      </c>
      <c r="D110" s="83">
        <f>5.3+5.3+0.5+1.7</f>
        <v>12.799999999999999</v>
      </c>
      <c r="E110" s="6">
        <f>D110/D106*100</f>
        <v>0.026771969747674186</v>
      </c>
      <c r="F110" s="6">
        <f t="shared" si="15"/>
        <v>32.405063291139236</v>
      </c>
      <c r="G110" s="6">
        <f t="shared" si="12"/>
        <v>15.130023640661939</v>
      </c>
      <c r="H110" s="6">
        <f t="shared" si="16"/>
        <v>26.700000000000003</v>
      </c>
      <c r="I110" s="6">
        <f t="shared" si="14"/>
        <v>71.8</v>
      </c>
    </row>
    <row r="111" spans="1:9" ht="18" hidden="1">
      <c r="A111" s="29" t="s">
        <v>33</v>
      </c>
      <c r="B111" s="81"/>
      <c r="C111" s="51"/>
      <c r="D111" s="82"/>
      <c r="E111" s="1"/>
      <c r="F111" s="1" t="e">
        <f t="shared" si="15"/>
        <v>#DIV/0!</v>
      </c>
      <c r="G111" s="1" t="e">
        <f t="shared" si="12"/>
        <v>#DIV/0!</v>
      </c>
      <c r="H111" s="1">
        <f t="shared" si="16"/>
        <v>0</v>
      </c>
      <c r="I111" s="1">
        <f t="shared" si="14"/>
        <v>0</v>
      </c>
    </row>
    <row r="112" spans="1:9" ht="37.5">
      <c r="A112" s="17" t="s">
        <v>74</v>
      </c>
      <c r="B112" s="80">
        <v>22.4</v>
      </c>
      <c r="C112" s="68">
        <v>67.4</v>
      </c>
      <c r="D112" s="79">
        <f>5.5+5.4+5.5</f>
        <v>16.4</v>
      </c>
      <c r="E112" s="6">
        <f>D112/D106*100</f>
        <v>0.03430158623920755</v>
      </c>
      <c r="F112" s="6">
        <f t="shared" si="15"/>
        <v>73.21428571428571</v>
      </c>
      <c r="G112" s="6">
        <f t="shared" si="12"/>
        <v>24.332344213649847</v>
      </c>
      <c r="H112" s="6">
        <f t="shared" si="16"/>
        <v>6</v>
      </c>
      <c r="I112" s="6">
        <f t="shared" si="14"/>
        <v>51.00000000000001</v>
      </c>
    </row>
    <row r="113" spans="1:9" ht="37.5">
      <c r="A113" s="17" t="s">
        <v>47</v>
      </c>
      <c r="B113" s="80">
        <v>579.3</v>
      </c>
      <c r="C113" s="68">
        <v>1532.5</v>
      </c>
      <c r="D113" s="79">
        <f>96.4+0.6+6.3+86+10.4+21.5+5.3+0.1+11.6+102.1+10.6+3.5</f>
        <v>354.40000000000003</v>
      </c>
      <c r="E113" s="6">
        <f>D113/D106*100</f>
        <v>0.7412489123887291</v>
      </c>
      <c r="F113" s="6">
        <f t="shared" si="15"/>
        <v>61.17728292767134</v>
      </c>
      <c r="G113" s="6">
        <f t="shared" si="12"/>
        <v>23.12561174551387</v>
      </c>
      <c r="H113" s="6">
        <f t="shared" si="16"/>
        <v>224.89999999999992</v>
      </c>
      <c r="I113" s="6">
        <f t="shared" si="14"/>
        <v>1178.1</v>
      </c>
    </row>
    <row r="114" spans="1:9" ht="18" hidden="1">
      <c r="A114" s="40" t="s">
        <v>54</v>
      </c>
      <c r="B114" s="81"/>
      <c r="C114" s="51"/>
      <c r="D114" s="82"/>
      <c r="E114" s="6"/>
      <c r="F114" s="6" t="e">
        <f t="shared" si="15"/>
        <v>#DIV/0!</v>
      </c>
      <c r="G114" s="1" t="e">
        <f t="shared" si="12"/>
        <v>#DIV/0!</v>
      </c>
      <c r="H114" s="1">
        <f t="shared" si="16"/>
        <v>0</v>
      </c>
      <c r="I114" s="1">
        <f t="shared" si="14"/>
        <v>0</v>
      </c>
    </row>
    <row r="115" spans="1:9" s="44" customFormat="1" ht="18.75" customHeight="1">
      <c r="A115" s="17" t="s">
        <v>60</v>
      </c>
      <c r="B115" s="80">
        <v>36</v>
      </c>
      <c r="C115" s="60">
        <v>36</v>
      </c>
      <c r="D115" s="83">
        <v>36</v>
      </c>
      <c r="E115" s="19">
        <f>D115/D106*100</f>
        <v>0.07529616491533364</v>
      </c>
      <c r="F115" s="6">
        <f t="shared" si="15"/>
        <v>100</v>
      </c>
      <c r="G115" s="19">
        <f t="shared" si="12"/>
        <v>100</v>
      </c>
      <c r="H115" s="19">
        <f t="shared" si="16"/>
        <v>0</v>
      </c>
      <c r="I115" s="19">
        <f t="shared" si="14"/>
        <v>0</v>
      </c>
    </row>
    <row r="116" spans="1:9" ht="37.5">
      <c r="A116" s="17" t="s">
        <v>59</v>
      </c>
      <c r="B116" s="80">
        <v>188.7</v>
      </c>
      <c r="C116" s="68">
        <v>245.2</v>
      </c>
      <c r="D116" s="79"/>
      <c r="E116" s="6">
        <f>D116/D106*100</f>
        <v>0</v>
      </c>
      <c r="F116" s="6">
        <f>D116/B116*100</f>
        <v>0</v>
      </c>
      <c r="G116" s="6">
        <f t="shared" si="12"/>
        <v>0</v>
      </c>
      <c r="H116" s="6">
        <f t="shared" si="16"/>
        <v>188.7</v>
      </c>
      <c r="I116" s="6">
        <f t="shared" si="14"/>
        <v>245.2</v>
      </c>
    </row>
    <row r="117" spans="1:9" s="2" customFormat="1" ht="18.75">
      <c r="A117" s="17" t="s">
        <v>16</v>
      </c>
      <c r="B117" s="80">
        <v>87.9</v>
      </c>
      <c r="C117" s="60">
        <f>199.6+4.8</f>
        <v>204.4</v>
      </c>
      <c r="D117" s="79">
        <f>1.6+18.3+17.8+0.8+2.2+4+0.6+16.7+3.7+3.6</f>
        <v>69.3</v>
      </c>
      <c r="E117" s="6">
        <f>D117/D106*100</f>
        <v>0.14494511746201727</v>
      </c>
      <c r="F117" s="6">
        <f t="shared" si="15"/>
        <v>78.839590443686</v>
      </c>
      <c r="G117" s="6">
        <f t="shared" si="12"/>
        <v>33.90410958904109</v>
      </c>
      <c r="H117" s="6">
        <f t="shared" si="16"/>
        <v>18.60000000000001</v>
      </c>
      <c r="I117" s="6">
        <f t="shared" si="14"/>
        <v>135.10000000000002</v>
      </c>
    </row>
    <row r="118" spans="1:9" s="39" customFormat="1" ht="18">
      <c r="A118" s="40" t="s">
        <v>54</v>
      </c>
      <c r="B118" s="81">
        <v>66.9</v>
      </c>
      <c r="C118" s="51">
        <v>150.8</v>
      </c>
      <c r="D118" s="82">
        <f>16.7+16.7+16.7</f>
        <v>50.099999999999994</v>
      </c>
      <c r="E118" s="1"/>
      <c r="F118" s="1">
        <f t="shared" si="15"/>
        <v>74.88789237668159</v>
      </c>
      <c r="G118" s="1">
        <f t="shared" si="12"/>
        <v>33.22281167108753</v>
      </c>
      <c r="H118" s="1">
        <f t="shared" si="16"/>
        <v>16.80000000000001</v>
      </c>
      <c r="I118" s="1">
        <f t="shared" si="14"/>
        <v>100.70000000000002</v>
      </c>
    </row>
    <row r="119" spans="1:9" s="2" customFormat="1" ht="18.75">
      <c r="A119" s="17" t="s">
        <v>25</v>
      </c>
      <c r="B119" s="80">
        <v>564.6</v>
      </c>
      <c r="C119" s="60">
        <f>1468.8+249.6</f>
        <v>1718.3999999999999</v>
      </c>
      <c r="D119" s="79">
        <f>249.6</f>
        <v>249.6</v>
      </c>
      <c r="E119" s="6">
        <f>D119/D106*100</f>
        <v>0.5220534100796467</v>
      </c>
      <c r="F119" s="6">
        <f t="shared" si="15"/>
        <v>44.20828905419766</v>
      </c>
      <c r="G119" s="6">
        <f t="shared" si="12"/>
        <v>14.52513966480447</v>
      </c>
      <c r="H119" s="6">
        <f t="shared" si="16"/>
        <v>315</v>
      </c>
      <c r="I119" s="6">
        <f t="shared" si="14"/>
        <v>1468.8</v>
      </c>
    </row>
    <row r="120" spans="1:9" s="2" customFormat="1" ht="21.75" customHeight="1">
      <c r="A120" s="17" t="s">
        <v>45</v>
      </c>
      <c r="B120" s="80">
        <v>1191</v>
      </c>
      <c r="C120" s="60">
        <f>628+70+553</f>
        <v>1251</v>
      </c>
      <c r="D120" s="83">
        <f>110.6</f>
        <v>110.6</v>
      </c>
      <c r="E120" s="19">
        <f>D120/D106*100</f>
        <v>0.23132655110099729</v>
      </c>
      <c r="F120" s="6">
        <f t="shared" si="15"/>
        <v>9.286314021830394</v>
      </c>
      <c r="G120" s="6">
        <f t="shared" si="12"/>
        <v>8.840927258193444</v>
      </c>
      <c r="H120" s="6">
        <f t="shared" si="16"/>
        <v>1080.4</v>
      </c>
      <c r="I120" s="6">
        <f t="shared" si="14"/>
        <v>1140.4</v>
      </c>
    </row>
    <row r="121" spans="1:9" s="116" customFormat="1" ht="18">
      <c r="A121" s="29" t="s">
        <v>102</v>
      </c>
      <c r="B121" s="81">
        <v>70</v>
      </c>
      <c r="C121" s="51">
        <v>70</v>
      </c>
      <c r="D121" s="82"/>
      <c r="E121" s="6"/>
      <c r="F121" s="1">
        <f>D121/B121*100</f>
        <v>0</v>
      </c>
      <c r="G121" s="1">
        <f t="shared" si="12"/>
        <v>0</v>
      </c>
      <c r="H121" s="1">
        <f t="shared" si="16"/>
        <v>70</v>
      </c>
      <c r="I121" s="1">
        <f t="shared" si="14"/>
        <v>70</v>
      </c>
    </row>
    <row r="122" spans="1:9" s="116" customFormat="1" ht="18" hidden="1">
      <c r="A122" s="29" t="s">
        <v>64</v>
      </c>
      <c r="B122" s="81"/>
      <c r="C122" s="51"/>
      <c r="D122" s="82"/>
      <c r="E122" s="6"/>
      <c r="F122" s="1" t="e">
        <f>D122/B122*100</f>
        <v>#DIV/0!</v>
      </c>
      <c r="G122" s="1" t="e">
        <f t="shared" si="12"/>
        <v>#DIV/0!</v>
      </c>
      <c r="H122" s="1">
        <f t="shared" si="16"/>
        <v>0</v>
      </c>
      <c r="I122" s="1">
        <f t="shared" si="14"/>
        <v>0</v>
      </c>
    </row>
    <row r="123" spans="1:9" s="2" customFormat="1" ht="37.5">
      <c r="A123" s="17" t="s">
        <v>49</v>
      </c>
      <c r="B123" s="80">
        <v>789.1</v>
      </c>
      <c r="C123" s="60">
        <v>2933.8</v>
      </c>
      <c r="D123" s="83">
        <f>21+0.9+174.2</f>
        <v>196.1</v>
      </c>
      <c r="E123" s="19">
        <f>D123/D106*100</f>
        <v>0.4101549427749147</v>
      </c>
      <c r="F123" s="6">
        <f t="shared" si="15"/>
        <v>24.851096185527815</v>
      </c>
      <c r="G123" s="6">
        <f t="shared" si="12"/>
        <v>6.684163883018609</v>
      </c>
      <c r="H123" s="6">
        <f t="shared" si="16"/>
        <v>593</v>
      </c>
      <c r="I123" s="6">
        <f t="shared" si="14"/>
        <v>2737.7000000000003</v>
      </c>
    </row>
    <row r="124" spans="1:9" s="2" customFormat="1" ht="56.25">
      <c r="A124" s="17" t="s">
        <v>56</v>
      </c>
      <c r="B124" s="80">
        <v>129.9</v>
      </c>
      <c r="C124" s="60">
        <v>129.9</v>
      </c>
      <c r="D124" s="83">
        <v>129.9</v>
      </c>
      <c r="E124" s="19">
        <f>D124/D106*100</f>
        <v>0.2716936617361623</v>
      </c>
      <c r="F124" s="6">
        <f t="shared" si="15"/>
        <v>100</v>
      </c>
      <c r="G124" s="6">
        <f t="shared" si="12"/>
        <v>100</v>
      </c>
      <c r="H124" s="6">
        <f t="shared" si="16"/>
        <v>0</v>
      </c>
      <c r="I124" s="6">
        <f t="shared" si="14"/>
        <v>0</v>
      </c>
    </row>
    <row r="125" spans="1:9" s="2" customFormat="1" ht="18.75">
      <c r="A125" s="17" t="s">
        <v>98</v>
      </c>
      <c r="B125" s="80">
        <v>2</v>
      </c>
      <c r="C125" s="60">
        <v>2</v>
      </c>
      <c r="D125" s="83">
        <v>2</v>
      </c>
      <c r="E125" s="19">
        <f>D125/D106*100</f>
        <v>0.004183120273074092</v>
      </c>
      <c r="F125" s="6">
        <f t="shared" si="15"/>
        <v>100</v>
      </c>
      <c r="G125" s="6">
        <f t="shared" si="12"/>
        <v>100</v>
      </c>
      <c r="H125" s="6">
        <f t="shared" si="16"/>
        <v>0</v>
      </c>
      <c r="I125" s="6">
        <f t="shared" si="14"/>
        <v>0</v>
      </c>
    </row>
    <row r="126" spans="1:9" s="2" customFormat="1" ht="37.5">
      <c r="A126" s="17" t="s">
        <v>113</v>
      </c>
      <c r="B126" s="80">
        <v>332.3</v>
      </c>
      <c r="C126" s="60">
        <v>332.3</v>
      </c>
      <c r="D126" s="83"/>
      <c r="E126" s="19">
        <f>D126/D106*100</f>
        <v>0</v>
      </c>
      <c r="F126" s="6">
        <f t="shared" si="15"/>
        <v>0</v>
      </c>
      <c r="G126" s="6">
        <f t="shared" si="12"/>
        <v>0</v>
      </c>
      <c r="H126" s="6">
        <f t="shared" si="16"/>
        <v>332.3</v>
      </c>
      <c r="I126" s="6">
        <f t="shared" si="14"/>
        <v>332.3</v>
      </c>
    </row>
    <row r="127" spans="1:9" s="2" customFormat="1" ht="37.5">
      <c r="A127" s="17" t="s">
        <v>78</v>
      </c>
      <c r="B127" s="80">
        <v>89.7</v>
      </c>
      <c r="C127" s="60">
        <f>101.4+27.9</f>
        <v>129.3</v>
      </c>
      <c r="D127" s="83">
        <f>3+3+4.9+21.9-0.1+12.2+1.6+6.9+7.8+0.7+8.4</f>
        <v>70.3</v>
      </c>
      <c r="E127" s="19">
        <f>D127/D106*100</f>
        <v>0.14703667759855432</v>
      </c>
      <c r="F127" s="6">
        <f t="shared" si="15"/>
        <v>78.37235228539576</v>
      </c>
      <c r="G127" s="6">
        <f t="shared" si="12"/>
        <v>54.36968290796597</v>
      </c>
      <c r="H127" s="6">
        <f t="shared" si="16"/>
        <v>19.400000000000006</v>
      </c>
      <c r="I127" s="6">
        <f t="shared" si="14"/>
        <v>59.000000000000014</v>
      </c>
    </row>
    <row r="128" spans="1:9" s="2" customFormat="1" ht="18.75">
      <c r="A128" s="17" t="s">
        <v>72</v>
      </c>
      <c r="B128" s="80">
        <v>138.5</v>
      </c>
      <c r="C128" s="60">
        <v>650</v>
      </c>
      <c r="D128" s="83">
        <f>8.7+23.6+6.2+5.1</f>
        <v>43.6</v>
      </c>
      <c r="E128" s="19">
        <f>D128/D106*100</f>
        <v>0.0911920219530152</v>
      </c>
      <c r="F128" s="6">
        <f t="shared" si="15"/>
        <v>31.480144404332133</v>
      </c>
      <c r="G128" s="6">
        <f t="shared" si="12"/>
        <v>6.707692307692308</v>
      </c>
      <c r="H128" s="6">
        <f t="shared" si="16"/>
        <v>94.9</v>
      </c>
      <c r="I128" s="6">
        <f t="shared" si="14"/>
        <v>606.4</v>
      </c>
    </row>
    <row r="129" spans="1:9" s="2" customFormat="1" ht="35.25" customHeight="1">
      <c r="A129" s="17" t="s">
        <v>71</v>
      </c>
      <c r="B129" s="80">
        <f>156.7-110</f>
        <v>46.69999999999999</v>
      </c>
      <c r="C129" s="60">
        <f>171.5+14.8-110</f>
        <v>76.30000000000001</v>
      </c>
      <c r="D129" s="83">
        <f>5.6+5.6+3.5+1.3</f>
        <v>16</v>
      </c>
      <c r="E129" s="19">
        <f>D129/D106*100</f>
        <v>0.03346496218459274</v>
      </c>
      <c r="F129" s="6">
        <f t="shared" si="15"/>
        <v>34.26124197002142</v>
      </c>
      <c r="G129" s="6">
        <f t="shared" si="12"/>
        <v>20.969855832241148</v>
      </c>
      <c r="H129" s="6">
        <f t="shared" si="16"/>
        <v>30.69999999999999</v>
      </c>
      <c r="I129" s="6">
        <f t="shared" si="14"/>
        <v>60.30000000000001</v>
      </c>
    </row>
    <row r="130" spans="1:9" s="2" customFormat="1" ht="35.25" customHeight="1">
      <c r="A130" s="17" t="s">
        <v>73</v>
      </c>
      <c r="B130" s="80">
        <v>0</v>
      </c>
      <c r="C130" s="60">
        <v>220</v>
      </c>
      <c r="D130" s="83"/>
      <c r="E130" s="19">
        <f>D130/D106*100</f>
        <v>0</v>
      </c>
      <c r="F130" s="118" t="e">
        <f t="shared" si="15"/>
        <v>#DIV/0!</v>
      </c>
      <c r="G130" s="6">
        <f t="shared" si="12"/>
        <v>0</v>
      </c>
      <c r="H130" s="6">
        <f t="shared" si="16"/>
        <v>0</v>
      </c>
      <c r="I130" s="6">
        <f t="shared" si="14"/>
        <v>220</v>
      </c>
    </row>
    <row r="131" spans="1:9" s="2" customFormat="1" ht="37.5">
      <c r="A131" s="17" t="s">
        <v>112</v>
      </c>
      <c r="B131" s="80">
        <v>265.1</v>
      </c>
      <c r="C131" s="60">
        <v>265.1</v>
      </c>
      <c r="D131" s="83">
        <f>59.9</f>
        <v>59.9</v>
      </c>
      <c r="E131" s="19">
        <f>D131/D106*100</f>
        <v>0.12528445217856904</v>
      </c>
      <c r="F131" s="6">
        <f t="shared" si="15"/>
        <v>22.595247076574875</v>
      </c>
      <c r="G131" s="6">
        <f>D131/C131*100</f>
        <v>22.595247076574875</v>
      </c>
      <c r="H131" s="6">
        <f t="shared" si="16"/>
        <v>205.20000000000002</v>
      </c>
      <c r="I131" s="6">
        <f t="shared" si="14"/>
        <v>205.20000000000002</v>
      </c>
    </row>
    <row r="132" spans="1:9" s="39" customFormat="1" ht="18">
      <c r="A132" s="29" t="s">
        <v>33</v>
      </c>
      <c r="B132" s="81">
        <v>64.2</v>
      </c>
      <c r="C132" s="51">
        <v>64.2</v>
      </c>
      <c r="D132" s="82"/>
      <c r="E132" s="1"/>
      <c r="F132" s="1">
        <f t="shared" si="15"/>
        <v>0</v>
      </c>
      <c r="G132" s="1">
        <f>D132/C132*100</f>
        <v>0</v>
      </c>
      <c r="H132" s="1">
        <f t="shared" si="16"/>
        <v>64.2</v>
      </c>
      <c r="I132" s="1">
        <f t="shared" si="14"/>
        <v>64.2</v>
      </c>
    </row>
    <row r="133" spans="1:9" s="2" customFormat="1" ht="18.75">
      <c r="A133" s="17" t="s">
        <v>32</v>
      </c>
      <c r="B133" s="80">
        <v>324.2</v>
      </c>
      <c r="C133" s="60">
        <f>981.9+3.8</f>
        <v>985.6999999999999</v>
      </c>
      <c r="D133" s="83">
        <f>21.9+41.8+0.1+6.1+26+3.6+0.1+41-0.1+21.3+6.2+7.1+43.4+4.5+8.8+48.5+7.5</f>
        <v>287.79999999999995</v>
      </c>
      <c r="E133" s="19">
        <f>D133/D106*100</f>
        <v>0.6019510072953617</v>
      </c>
      <c r="F133" s="6">
        <f t="shared" si="15"/>
        <v>88.77236273904995</v>
      </c>
      <c r="G133" s="6">
        <f t="shared" si="12"/>
        <v>29.197524601805817</v>
      </c>
      <c r="H133" s="6">
        <f t="shared" si="16"/>
        <v>36.400000000000034</v>
      </c>
      <c r="I133" s="6">
        <f t="shared" si="14"/>
        <v>697.9</v>
      </c>
    </row>
    <row r="134" spans="1:9" s="39" customFormat="1" ht="18">
      <c r="A134" s="40" t="s">
        <v>54</v>
      </c>
      <c r="B134" s="81">
        <v>267</v>
      </c>
      <c r="C134" s="51">
        <v>848.7</v>
      </c>
      <c r="D134" s="82">
        <f>21.9+39.7+0.1+6.1+19+41-0.1+21.3+43.3+8.5+32.3</f>
        <v>233.10000000000002</v>
      </c>
      <c r="E134" s="1">
        <f>D134/D133*100</f>
        <v>80.99374565670607</v>
      </c>
      <c r="F134" s="1">
        <f aca="true" t="shared" si="17" ref="F134:F141">D134/B134*100</f>
        <v>87.30337078651687</v>
      </c>
      <c r="G134" s="1">
        <f t="shared" si="12"/>
        <v>27.46553552492047</v>
      </c>
      <c r="H134" s="1">
        <f t="shared" si="16"/>
        <v>33.89999999999998</v>
      </c>
      <c r="I134" s="1">
        <f t="shared" si="14"/>
        <v>615.6</v>
      </c>
    </row>
    <row r="135" spans="1:9" s="39" customFormat="1" ht="18">
      <c r="A135" s="29" t="s">
        <v>33</v>
      </c>
      <c r="B135" s="81">
        <v>20.9</v>
      </c>
      <c r="C135" s="51">
        <v>26.3</v>
      </c>
      <c r="D135" s="82">
        <f>7+6+0.2+7.1+0.1</f>
        <v>20.4</v>
      </c>
      <c r="E135" s="1">
        <f>D135/D133*100</f>
        <v>7.088255733148021</v>
      </c>
      <c r="F135" s="1">
        <f t="shared" si="17"/>
        <v>97.60765550239235</v>
      </c>
      <c r="G135" s="1">
        <f>D135/C135*100</f>
        <v>77.56653992395437</v>
      </c>
      <c r="H135" s="1">
        <f t="shared" si="16"/>
        <v>0.5</v>
      </c>
      <c r="I135" s="1">
        <f t="shared" si="14"/>
        <v>5.900000000000002</v>
      </c>
    </row>
    <row r="136" spans="1:9" s="2" customFormat="1" ht="56.25">
      <c r="A136" s="124" t="s">
        <v>114</v>
      </c>
      <c r="B136" s="80">
        <v>200</v>
      </c>
      <c r="C136" s="60">
        <v>200</v>
      </c>
      <c r="D136" s="83"/>
      <c r="E136" s="19">
        <f>D136/D106*100</f>
        <v>0</v>
      </c>
      <c r="F136" s="113">
        <f t="shared" si="17"/>
        <v>0</v>
      </c>
      <c r="G136" s="6">
        <f t="shared" si="12"/>
        <v>0</v>
      </c>
      <c r="H136" s="6">
        <f t="shared" si="16"/>
        <v>200</v>
      </c>
      <c r="I136" s="6">
        <f t="shared" si="14"/>
        <v>200</v>
      </c>
    </row>
    <row r="137" spans="1:9" s="2" customFormat="1" ht="18.75">
      <c r="A137" s="124" t="s">
        <v>109</v>
      </c>
      <c r="B137" s="80">
        <v>2100</v>
      </c>
      <c r="C137" s="60">
        <v>6500</v>
      </c>
      <c r="D137" s="83">
        <f>241.3</f>
        <v>241.3</v>
      </c>
      <c r="E137" s="19">
        <f>D137/D106*100</f>
        <v>0.5046934609463892</v>
      </c>
      <c r="F137" s="113">
        <f t="shared" si="17"/>
        <v>11.49047619047619</v>
      </c>
      <c r="G137" s="6">
        <f t="shared" si="12"/>
        <v>3.7123076923076925</v>
      </c>
      <c r="H137" s="6">
        <f t="shared" si="16"/>
        <v>1858.7</v>
      </c>
      <c r="I137" s="6">
        <f t="shared" si="14"/>
        <v>6258.7</v>
      </c>
    </row>
    <row r="138" spans="1:9" s="2" customFormat="1" ht="18.75">
      <c r="A138" s="124" t="s">
        <v>111</v>
      </c>
      <c r="B138" s="80">
        <v>1268.3</v>
      </c>
      <c r="C138" s="60">
        <v>6082.6</v>
      </c>
      <c r="D138" s="83">
        <f>626.1+43.8+40.3</f>
        <v>710.1999999999999</v>
      </c>
      <c r="E138" s="19">
        <f>D138/D106*100</f>
        <v>1.4854260089686098</v>
      </c>
      <c r="F138" s="113">
        <f t="shared" si="17"/>
        <v>55.99621540644958</v>
      </c>
      <c r="G138" s="6">
        <f t="shared" si="12"/>
        <v>11.675928057080851</v>
      </c>
      <c r="H138" s="6">
        <f t="shared" si="16"/>
        <v>558.1</v>
      </c>
      <c r="I138" s="6">
        <f t="shared" si="14"/>
        <v>5372.400000000001</v>
      </c>
    </row>
    <row r="139" spans="1:9" s="2" customFormat="1" ht="18.75">
      <c r="A139" s="17" t="s">
        <v>27</v>
      </c>
      <c r="B139" s="80">
        <v>2094</v>
      </c>
      <c r="C139" s="60">
        <v>8376</v>
      </c>
      <c r="D139" s="83">
        <f>2094</f>
        <v>2094</v>
      </c>
      <c r="E139" s="19">
        <f>D139/D106*100</f>
        <v>4.379726925908574</v>
      </c>
      <c r="F139" s="113">
        <f t="shared" si="17"/>
        <v>100</v>
      </c>
      <c r="G139" s="6">
        <f t="shared" si="12"/>
        <v>25</v>
      </c>
      <c r="H139" s="6">
        <f t="shared" si="16"/>
        <v>0</v>
      </c>
      <c r="I139" s="6">
        <f t="shared" si="14"/>
        <v>6282</v>
      </c>
    </row>
    <row r="140" spans="1:12" s="2" customFormat="1" ht="18.75" customHeight="1">
      <c r="A140" s="17" t="s">
        <v>99</v>
      </c>
      <c r="B140" s="80">
        <v>538.2</v>
      </c>
      <c r="C140" s="60">
        <v>538.2</v>
      </c>
      <c r="D140" s="83">
        <f>507.8+15.4</f>
        <v>523.2</v>
      </c>
      <c r="E140" s="19">
        <f>D140/D106*100</f>
        <v>1.0943042634361826</v>
      </c>
      <c r="F140" s="113">
        <f t="shared" si="17"/>
        <v>97.2129319955407</v>
      </c>
      <c r="G140" s="6">
        <f t="shared" si="12"/>
        <v>97.2129319955407</v>
      </c>
      <c r="H140" s="6">
        <f t="shared" si="16"/>
        <v>15</v>
      </c>
      <c r="I140" s="6">
        <f t="shared" si="14"/>
        <v>15</v>
      </c>
      <c r="K140" s="45"/>
      <c r="L140" s="45"/>
    </row>
    <row r="141" spans="1:12" s="2" customFormat="1" ht="19.5" customHeight="1">
      <c r="A141" s="17" t="s">
        <v>65</v>
      </c>
      <c r="B141" s="80">
        <v>42695.5</v>
      </c>
      <c r="C141" s="60">
        <v>91632.1</v>
      </c>
      <c r="D141" s="83">
        <f>500.9+20883.8+13804</f>
        <v>35188.7</v>
      </c>
      <c r="E141" s="19">
        <f>D141/D106*100</f>
        <v>73.59928217656115</v>
      </c>
      <c r="F141" s="6">
        <f t="shared" si="17"/>
        <v>82.41781920811326</v>
      </c>
      <c r="G141" s="6">
        <f t="shared" si="12"/>
        <v>38.40215383037167</v>
      </c>
      <c r="H141" s="6">
        <f t="shared" si="16"/>
        <v>7506.800000000003</v>
      </c>
      <c r="I141" s="6">
        <f t="shared" si="14"/>
        <v>56443.40000000001</v>
      </c>
      <c r="K141" s="103"/>
      <c r="L141" s="45"/>
    </row>
    <row r="142" spans="1:12" s="2" customFormat="1" ht="18.75">
      <c r="A142" s="17" t="s">
        <v>103</v>
      </c>
      <c r="B142" s="80">
        <v>7421.2</v>
      </c>
      <c r="C142" s="60">
        <v>22263.4</v>
      </c>
      <c r="D142" s="83">
        <f>1236.9+618.4+618.4+618.4+618.5+618.4+618.4+618.5+618.4+618.4</f>
        <v>6802.699999999999</v>
      </c>
      <c r="E142" s="19">
        <f>D142/D106*100</f>
        <v>14.228256140820559</v>
      </c>
      <c r="F142" s="6">
        <f t="shared" si="15"/>
        <v>91.66576833935211</v>
      </c>
      <c r="G142" s="6">
        <f t="shared" si="12"/>
        <v>30.555530601794867</v>
      </c>
      <c r="H142" s="6">
        <f t="shared" si="16"/>
        <v>618.5000000000009</v>
      </c>
      <c r="I142" s="6">
        <f t="shared" si="14"/>
        <v>15460.700000000003</v>
      </c>
      <c r="K142" s="45"/>
      <c r="L142" s="45"/>
    </row>
    <row r="143" spans="1:12" s="2" customFormat="1" ht="19.5" thickBot="1">
      <c r="A143" s="41" t="s">
        <v>37</v>
      </c>
      <c r="B143" s="84">
        <f>B43+B68+B71+B76+B78+B86+B101+B106+B99+B83+B97</f>
        <v>67723</v>
      </c>
      <c r="C143" s="84">
        <f>C43+C68+C71+C76+C78+C86+C101+C106+C99+C83+C97</f>
        <v>164960.59999999998</v>
      </c>
      <c r="D143" s="60">
        <f>D43+D68+D71+D76+D78+D86+D101+D106+D99+D83+D97</f>
        <v>49586.7</v>
      </c>
      <c r="E143" s="19"/>
      <c r="F143" s="19"/>
      <c r="G143" s="6"/>
      <c r="H143" s="6"/>
      <c r="I143" s="20"/>
      <c r="K143" s="45"/>
      <c r="L143" s="45"/>
    </row>
    <row r="144" spans="1:12" ht="19.5" thickBot="1">
      <c r="A144" s="14" t="s">
        <v>19</v>
      </c>
      <c r="B144" s="54">
        <f>B6+B18+B33+B43+B51+B58+B68+B71+B76+B78+B86+B89+B94+B101+B106+B99+B83+B97+B45</f>
        <v>306128.89999999997</v>
      </c>
      <c r="C144" s="54">
        <f>C6+C18+C33+C43+C51+C58+C68+C71+C76+C78+C86+C89+C94+C101+C106+C99+C83+C97+C45</f>
        <v>896182.7999999999</v>
      </c>
      <c r="D144" s="54">
        <f>D6+D18+D33+D43+D51+D58+D68+D71+D76+D78+D86+D89+D94+D101+D106+D99+D83+D97+D45</f>
        <v>253100.59999999998</v>
      </c>
      <c r="E144" s="38">
        <v>100</v>
      </c>
      <c r="F144" s="3">
        <f>D144/B144*100</f>
        <v>82.67778703676785</v>
      </c>
      <c r="G144" s="3">
        <f aca="true" t="shared" si="18" ref="G144:G150">D144/C144*100</f>
        <v>28.24207293422726</v>
      </c>
      <c r="H144" s="3">
        <f aca="true" t="shared" si="19" ref="H144:H150">B144-D144</f>
        <v>53028.29999999999</v>
      </c>
      <c r="I144" s="3">
        <f aca="true" t="shared" si="20" ref="I144:I150">C144-D144</f>
        <v>643082.2</v>
      </c>
      <c r="K144" s="46"/>
      <c r="L144" s="47"/>
    </row>
    <row r="145" spans="1:12" ht="18.75">
      <c r="A145" s="23" t="s">
        <v>5</v>
      </c>
      <c r="B145" s="67">
        <f>B8+B20+B34+B52+B59+B90+B114+B118+B46+B134</f>
        <v>158275.40000000002</v>
      </c>
      <c r="C145" s="67">
        <f>C8+C20+C34+C52+C59+C90+C114+C118+C46+C134</f>
        <v>507335.6</v>
      </c>
      <c r="D145" s="67">
        <f>D8+D20+D34+D52+D59+D90+D114+D118+D46+D134</f>
        <v>136229.2</v>
      </c>
      <c r="E145" s="6">
        <f>D145/D144*100</f>
        <v>53.82413159036369</v>
      </c>
      <c r="F145" s="6">
        <f aca="true" t="shared" si="21" ref="F145:F156">D145/B145*100</f>
        <v>86.07098765822104</v>
      </c>
      <c r="G145" s="6">
        <f t="shared" si="18"/>
        <v>26.85189054345881</v>
      </c>
      <c r="H145" s="6">
        <f t="shared" si="19"/>
        <v>22046.20000000001</v>
      </c>
      <c r="I145" s="18">
        <f t="shared" si="20"/>
        <v>371106.39999999997</v>
      </c>
      <c r="K145" s="46"/>
      <c r="L145" s="47"/>
    </row>
    <row r="146" spans="1:12" ht="18.75">
      <c r="A146" s="23" t="s">
        <v>0</v>
      </c>
      <c r="B146" s="68">
        <f>B11+B23+B36+B55+B61+B91+B49+B135+B108+B111+B95+B132</f>
        <v>36998.6</v>
      </c>
      <c r="C146" s="68">
        <f>C11+C23+C36+C55+C61+C91+C49+C135+C108+C111+C95+C132</f>
        <v>96347.79999999999</v>
      </c>
      <c r="D146" s="68">
        <f>D11+D23+D36+D55+D61+D91+D49+D135+D108+D111+D95+D132</f>
        <v>30945.700000000004</v>
      </c>
      <c r="E146" s="6">
        <f>D146/D144*100</f>
        <v>12.22664031614307</v>
      </c>
      <c r="F146" s="6">
        <f t="shared" si="21"/>
        <v>83.64019179104075</v>
      </c>
      <c r="G146" s="6">
        <f t="shared" si="18"/>
        <v>32.118740645868414</v>
      </c>
      <c r="H146" s="6">
        <f t="shared" si="19"/>
        <v>6052.899999999994</v>
      </c>
      <c r="I146" s="18">
        <f t="shared" si="20"/>
        <v>65402.099999999984</v>
      </c>
      <c r="K146" s="46"/>
      <c r="L146" s="102"/>
    </row>
    <row r="147" spans="1:12" ht="18.75">
      <c r="A147" s="23" t="s">
        <v>1</v>
      </c>
      <c r="B147" s="67">
        <f>B22+B10+B54+B48+B60+B35+B102+B122</f>
        <v>8291.699999999999</v>
      </c>
      <c r="C147" s="67">
        <f>C22+C10+C54+C48+C60+C35+C102+C122</f>
        <v>25686.8</v>
      </c>
      <c r="D147" s="67">
        <f>D22+D10+D54+D48+D60+D35+D102+D122</f>
        <v>6612.8</v>
      </c>
      <c r="E147" s="6">
        <f>D147/D144*100</f>
        <v>2.612716050455827</v>
      </c>
      <c r="F147" s="6">
        <f t="shared" si="21"/>
        <v>79.75204119782434</v>
      </c>
      <c r="G147" s="6">
        <f t="shared" si="18"/>
        <v>25.743961879253156</v>
      </c>
      <c r="H147" s="6">
        <f t="shared" si="19"/>
        <v>1678.8999999999987</v>
      </c>
      <c r="I147" s="18">
        <f t="shared" si="20"/>
        <v>19074</v>
      </c>
      <c r="K147" s="46"/>
      <c r="L147" s="47"/>
    </row>
    <row r="148" spans="1:12" ht="21" customHeight="1">
      <c r="A148" s="23" t="s">
        <v>15</v>
      </c>
      <c r="B148" s="67">
        <f>B12+B24+B103+B62+B38+B92</f>
        <v>2925.1</v>
      </c>
      <c r="C148" s="67">
        <f>C12+C24+C103+C62+C38+C92</f>
        <v>14596.9</v>
      </c>
      <c r="D148" s="67">
        <f>D12+D24+D103+D62+D38+D92</f>
        <v>1701.6</v>
      </c>
      <c r="E148" s="6">
        <f>D148/D144*100</f>
        <v>0.6723018436147524</v>
      </c>
      <c r="F148" s="6">
        <f t="shared" si="21"/>
        <v>58.17237017537862</v>
      </c>
      <c r="G148" s="6">
        <f t="shared" si="18"/>
        <v>11.657269694250148</v>
      </c>
      <c r="H148" s="6">
        <f t="shared" si="19"/>
        <v>1223.5</v>
      </c>
      <c r="I148" s="18">
        <f t="shared" si="20"/>
        <v>12895.3</v>
      </c>
      <c r="K148" s="46"/>
      <c r="L148" s="102"/>
    </row>
    <row r="149" spans="1:12" ht="18.75">
      <c r="A149" s="23" t="s">
        <v>2</v>
      </c>
      <c r="B149" s="67">
        <f>B9+B21+B47+B53+B121</f>
        <v>2613.2000000000003</v>
      </c>
      <c r="C149" s="67">
        <f>C9+C21+C47+C53+C121</f>
        <v>12618.400000000001</v>
      </c>
      <c r="D149" s="67">
        <f>D9+D21+D47+D53+D121</f>
        <v>2100.4999999999995</v>
      </c>
      <c r="E149" s="6">
        <f>D149/D144*100</f>
        <v>0.8299071594456907</v>
      </c>
      <c r="F149" s="6">
        <f t="shared" si="21"/>
        <v>80.38037654982394</v>
      </c>
      <c r="G149" s="6">
        <f t="shared" si="18"/>
        <v>16.646326000126795</v>
      </c>
      <c r="H149" s="6">
        <f t="shared" si="19"/>
        <v>512.7000000000007</v>
      </c>
      <c r="I149" s="18">
        <f t="shared" si="20"/>
        <v>10517.900000000001</v>
      </c>
      <c r="K149" s="46"/>
      <c r="L149" s="47"/>
    </row>
    <row r="150" spans="1:12" ht="19.5" thickBot="1">
      <c r="A150" s="23" t="s">
        <v>35</v>
      </c>
      <c r="B150" s="67">
        <f>B144-B145-B146-B147-B148-B149</f>
        <v>97024.89999999994</v>
      </c>
      <c r="C150" s="67">
        <f>C144-C145-C146-C147-C148-C149</f>
        <v>239597.3</v>
      </c>
      <c r="D150" s="67">
        <f>D144-D145-D146-D147-D148-D149</f>
        <v>75510.79999999994</v>
      </c>
      <c r="E150" s="6">
        <f>D150/D144*100</f>
        <v>29.834303039976973</v>
      </c>
      <c r="F150" s="6">
        <f t="shared" si="21"/>
        <v>77.82620749931203</v>
      </c>
      <c r="G150" s="43">
        <f t="shared" si="18"/>
        <v>31.515714075242062</v>
      </c>
      <c r="H150" s="6">
        <f t="shared" si="19"/>
        <v>21514.09999999999</v>
      </c>
      <c r="I150" s="6">
        <f t="shared" si="20"/>
        <v>164086.50000000006</v>
      </c>
      <c r="K150" s="46"/>
      <c r="L150" s="102"/>
    </row>
    <row r="151" spans="1:12" ht="5.25" customHeight="1" thickBot="1">
      <c r="A151" s="35"/>
      <c r="B151" s="85"/>
      <c r="C151" s="86"/>
      <c r="D151" s="86"/>
      <c r="E151" s="21"/>
      <c r="F151" s="21"/>
      <c r="G151" s="21"/>
      <c r="H151" s="21"/>
      <c r="I151" s="22"/>
      <c r="K151" s="46"/>
      <c r="L151" s="46"/>
    </row>
    <row r="152" spans="1:12" ht="18.75">
      <c r="A152" s="32" t="s">
        <v>21</v>
      </c>
      <c r="B152" s="87">
        <v>3301.9</v>
      </c>
      <c r="C152" s="73">
        <v>3301.9</v>
      </c>
      <c r="D152" s="73">
        <f>288.1+1522.4+951.8+530.2+8.8+0.5+0.1</f>
        <v>3301.9</v>
      </c>
      <c r="E152" s="15"/>
      <c r="F152" s="6">
        <f t="shared" si="21"/>
        <v>100</v>
      </c>
      <c r="G152" s="6">
        <f aca="true" t="shared" si="22" ref="G152:G161">D152/C152*100</f>
        <v>100</v>
      </c>
      <c r="H152" s="6">
        <f>B152-D152</f>
        <v>0</v>
      </c>
      <c r="I152" s="6">
        <f aca="true" t="shared" si="23" ref="I152:I161">C152-D152</f>
        <v>0</v>
      </c>
      <c r="J152" s="104"/>
      <c r="K152" s="46"/>
      <c r="L152" s="46"/>
    </row>
    <row r="153" spans="1:12" ht="18.75" hidden="1">
      <c r="A153" s="23" t="s">
        <v>22</v>
      </c>
      <c r="B153" s="88"/>
      <c r="C153" s="67"/>
      <c r="D153" s="67"/>
      <c r="E153" s="6"/>
      <c r="F153" s="6" t="e">
        <f t="shared" si="21"/>
        <v>#DIV/0!</v>
      </c>
      <c r="G153" s="6" t="e">
        <f t="shared" si="22"/>
        <v>#DIV/0!</v>
      </c>
      <c r="H153" s="6">
        <f aca="true" t="shared" si="24" ref="H153:H160">B153-D153</f>
        <v>0</v>
      </c>
      <c r="I153" s="6">
        <f t="shared" si="23"/>
        <v>0</v>
      </c>
      <c r="K153" s="46"/>
      <c r="L153" s="46"/>
    </row>
    <row r="154" spans="1:12" ht="18.75">
      <c r="A154" s="23" t="s">
        <v>61</v>
      </c>
      <c r="B154" s="88">
        <f>44117.7+550+6906.8+600</f>
        <v>52174.5</v>
      </c>
      <c r="C154" s="67">
        <v>105956.2</v>
      </c>
      <c r="D154" s="67">
        <f>72+2507+500.9+784.3+577.6+1236.9+2501.8+375+180.7+310.2-4.2+554.9+23.5+182.4+693.6</f>
        <v>10496.6</v>
      </c>
      <c r="E154" s="6"/>
      <c r="F154" s="6">
        <f t="shared" si="21"/>
        <v>20.118257002942048</v>
      </c>
      <c r="G154" s="6">
        <f t="shared" si="22"/>
        <v>9.906546289882046</v>
      </c>
      <c r="H154" s="6">
        <f t="shared" si="24"/>
        <v>41677.9</v>
      </c>
      <c r="I154" s="6">
        <f t="shared" si="23"/>
        <v>95459.59999999999</v>
      </c>
      <c r="K154" s="46"/>
      <c r="L154" s="46"/>
    </row>
    <row r="155" spans="1:12" ht="37.5">
      <c r="A155" s="23" t="s">
        <v>70</v>
      </c>
      <c r="B155" s="88">
        <v>309.4</v>
      </c>
      <c r="C155" s="67">
        <v>509.4</v>
      </c>
      <c r="D155" s="67"/>
      <c r="E155" s="6"/>
      <c r="F155" s="6">
        <f t="shared" si="21"/>
        <v>0</v>
      </c>
      <c r="G155" s="6">
        <f t="shared" si="22"/>
        <v>0</v>
      </c>
      <c r="H155" s="6">
        <f t="shared" si="24"/>
        <v>309.4</v>
      </c>
      <c r="I155" s="6">
        <f t="shared" si="23"/>
        <v>509.4</v>
      </c>
      <c r="K155" s="46"/>
      <c r="L155" s="46"/>
    </row>
    <row r="156" spans="1:12" ht="18.75">
      <c r="A156" s="23" t="s">
        <v>13</v>
      </c>
      <c r="B156" s="88">
        <f>4+1348.8</f>
        <v>1352.8</v>
      </c>
      <c r="C156" s="67">
        <f>54+13623.4</f>
        <v>13677.4</v>
      </c>
      <c r="D156" s="67">
        <f>5.2</f>
        <v>5.2</v>
      </c>
      <c r="E156" s="19"/>
      <c r="F156" s="6">
        <f t="shared" si="21"/>
        <v>0.384387936132466</v>
      </c>
      <c r="G156" s="6">
        <f t="shared" si="22"/>
        <v>0.038018921724889236</v>
      </c>
      <c r="H156" s="6">
        <f t="shared" si="24"/>
        <v>1347.6</v>
      </c>
      <c r="I156" s="6">
        <f t="shared" si="23"/>
        <v>13672.199999999999</v>
      </c>
      <c r="K156" s="46"/>
      <c r="L156" s="46"/>
    </row>
    <row r="157" spans="1:12" ht="18.75" hidden="1">
      <c r="A157" s="23" t="s">
        <v>26</v>
      </c>
      <c r="B157" s="88"/>
      <c r="C157" s="67"/>
      <c r="D157" s="67"/>
      <c r="E157" s="19"/>
      <c r="F157" s="6" t="e">
        <f>D157/B157*100</f>
        <v>#DIV/0!</v>
      </c>
      <c r="G157" s="6" t="e">
        <f t="shared" si="22"/>
        <v>#DIV/0!</v>
      </c>
      <c r="H157" s="6">
        <f t="shared" si="24"/>
        <v>0</v>
      </c>
      <c r="I157" s="6">
        <f t="shared" si="23"/>
        <v>0</v>
      </c>
      <c r="K157" s="46"/>
      <c r="L157" s="46"/>
    </row>
    <row r="158" spans="1:9" ht="18.75">
      <c r="A158" s="23" t="s">
        <v>53</v>
      </c>
      <c r="B158" s="88">
        <v>381.6</v>
      </c>
      <c r="C158" s="67">
        <f>1212+158.6</f>
        <v>1370.6</v>
      </c>
      <c r="D158" s="67">
        <f>15.4</f>
        <v>15.4</v>
      </c>
      <c r="E158" s="19"/>
      <c r="F158" s="6">
        <f>D158/B158*100</f>
        <v>4.035639412997903</v>
      </c>
      <c r="G158" s="6">
        <f t="shared" si="22"/>
        <v>1.1235955056179776</v>
      </c>
      <c r="H158" s="6">
        <f t="shared" si="24"/>
        <v>366.20000000000005</v>
      </c>
      <c r="I158" s="6">
        <f t="shared" si="23"/>
        <v>1355.1999999999998</v>
      </c>
    </row>
    <row r="159" spans="1:9" ht="19.5" customHeight="1">
      <c r="A159" s="23" t="s">
        <v>68</v>
      </c>
      <c r="B159" s="88">
        <v>307.6</v>
      </c>
      <c r="C159" s="67">
        <v>307.6</v>
      </c>
      <c r="D159" s="67"/>
      <c r="E159" s="19"/>
      <c r="F159" s="6">
        <f>D159/B159*100</f>
        <v>0</v>
      </c>
      <c r="G159" s="6">
        <f t="shared" si="22"/>
        <v>0</v>
      </c>
      <c r="H159" s="6">
        <f t="shared" si="24"/>
        <v>307.6</v>
      </c>
      <c r="I159" s="6">
        <f t="shared" si="23"/>
        <v>307.6</v>
      </c>
    </row>
    <row r="160" spans="1:9" ht="19.5" thickBot="1">
      <c r="A160" s="23" t="s">
        <v>62</v>
      </c>
      <c r="B160" s="88">
        <f>100+1550</f>
        <v>1650</v>
      </c>
      <c r="C160" s="89">
        <v>3718.8</v>
      </c>
      <c r="D160" s="89">
        <f>98.8+11.3+146.1</f>
        <v>256.2</v>
      </c>
      <c r="E160" s="24"/>
      <c r="F160" s="6">
        <f>D160/B160*100</f>
        <v>15.527272727272726</v>
      </c>
      <c r="G160" s="6">
        <f t="shared" si="22"/>
        <v>6.889319135204904</v>
      </c>
      <c r="H160" s="6">
        <f t="shared" si="24"/>
        <v>1393.8</v>
      </c>
      <c r="I160" s="6">
        <f t="shared" si="23"/>
        <v>3462.6000000000004</v>
      </c>
    </row>
    <row r="161" spans="1:9" ht="19.5" thickBot="1">
      <c r="A161" s="14" t="s">
        <v>20</v>
      </c>
      <c r="B161" s="90">
        <f>B144+B152+B156+B157+B153+B160+B159+B154+B158+B155</f>
        <v>365606.69999999995</v>
      </c>
      <c r="C161" s="90">
        <f>C144+C152+C156+C157+C153+C160+C159+C154+C158+C155</f>
        <v>1025024.7</v>
      </c>
      <c r="D161" s="90">
        <f>D144+D152+D156+D157+D153+D160+D159+D154+D158+D155</f>
        <v>267175.9</v>
      </c>
      <c r="E161" s="25"/>
      <c r="F161" s="3">
        <f>D161/B161*100</f>
        <v>73.0774080453121</v>
      </c>
      <c r="G161" s="3">
        <f t="shared" si="22"/>
        <v>26.065313352936766</v>
      </c>
      <c r="H161" s="3">
        <f>B161-D161</f>
        <v>98430.79999999993</v>
      </c>
      <c r="I161" s="3">
        <f t="shared" si="23"/>
        <v>757848.7999999999</v>
      </c>
    </row>
    <row r="162" spans="7:8" ht="12.75">
      <c r="G162" s="26"/>
      <c r="H162" s="26"/>
    </row>
    <row r="163" spans="7:9" ht="12.75">
      <c r="G163" s="26"/>
      <c r="H163" s="26"/>
      <c r="I163" s="26"/>
    </row>
    <row r="164" spans="7:8" ht="12.75">
      <c r="G164" s="26"/>
      <c r="H164" s="26"/>
    </row>
    <row r="165" spans="7:8" ht="12.75">
      <c r="G165" s="26"/>
      <c r="H165" s="26"/>
    </row>
    <row r="166" spans="7:8" ht="12.75">
      <c r="G166" s="26"/>
      <c r="H166" s="26"/>
    </row>
    <row r="167" spans="7:8" ht="12.75">
      <c r="G167" s="26"/>
      <c r="H167" s="26"/>
    </row>
    <row r="168" spans="7:8" ht="12.75">
      <c r="G168" s="26"/>
      <c r="H168" s="26"/>
    </row>
    <row r="169" spans="7:8" ht="12.75">
      <c r="G169" s="26"/>
      <c r="H169" s="26"/>
    </row>
    <row r="170" spans="7:8" ht="12.75">
      <c r="G170" s="26"/>
      <c r="H170" s="26"/>
    </row>
    <row r="171" spans="7:8" ht="12.75">
      <c r="G171" s="26"/>
      <c r="H171" s="26"/>
    </row>
    <row r="172" spans="7:8" ht="12.75">
      <c r="G172" s="26"/>
      <c r="H172" s="26"/>
    </row>
    <row r="173" spans="7:8" ht="12.75">
      <c r="G173" s="26"/>
      <c r="H173" s="26"/>
    </row>
    <row r="174" spans="7:8" ht="12.75">
      <c r="G174" s="26"/>
      <c r="H174" s="26"/>
    </row>
    <row r="175" spans="7:8" ht="12.75">
      <c r="G175" s="26"/>
      <c r="H175" s="26"/>
    </row>
    <row r="176" spans="7:8" ht="12.75">
      <c r="G176" s="26"/>
      <c r="H176" s="26"/>
    </row>
    <row r="177" spans="7:8" ht="12.75">
      <c r="G177" s="26"/>
      <c r="H177" s="26"/>
    </row>
    <row r="178" spans="7:8" ht="12.75">
      <c r="G178" s="26"/>
      <c r="H178" s="26"/>
    </row>
    <row r="179" spans="7:8" ht="12.75">
      <c r="G179" s="26"/>
      <c r="H179" s="26"/>
    </row>
    <row r="180" spans="7:8" ht="12.75">
      <c r="G180" s="26"/>
      <c r="H180" s="26"/>
    </row>
    <row r="181" spans="7:8" ht="12.75">
      <c r="G181" s="26"/>
      <c r="H181" s="26"/>
    </row>
    <row r="182" spans="7:8" ht="12.75">
      <c r="G182" s="26"/>
      <c r="H182" s="26"/>
    </row>
    <row r="183" spans="7:8" ht="12.75">
      <c r="G183" s="26"/>
      <c r="H183" s="26"/>
    </row>
    <row r="184" spans="7:8" ht="12.75">
      <c r="G184" s="26"/>
      <c r="H184" s="26"/>
    </row>
    <row r="185" spans="7:8" ht="12.75">
      <c r="G185" s="26"/>
      <c r="H185" s="26"/>
    </row>
    <row r="186" spans="7:8" ht="12.75">
      <c r="G186" s="26"/>
      <c r="H186" s="26"/>
    </row>
    <row r="187" spans="7:8" ht="12.75">
      <c r="G187" s="26"/>
      <c r="H187" s="26"/>
    </row>
    <row r="188" spans="7:8" ht="12.75">
      <c r="G188" s="26"/>
      <c r="H188" s="26"/>
    </row>
    <row r="189" spans="7:8" ht="12.75">
      <c r="G189" s="26"/>
      <c r="H189" s="26"/>
    </row>
    <row r="190" spans="7:8" ht="12.75">
      <c r="G190" s="26"/>
      <c r="H190" s="26"/>
    </row>
    <row r="191" spans="7:8" ht="12.75">
      <c r="G191" s="26"/>
      <c r="H191" s="26"/>
    </row>
    <row r="192" spans="7:8" ht="12.75">
      <c r="G192" s="26"/>
      <c r="H192" s="26"/>
    </row>
    <row r="193" spans="7:8" ht="12.75">
      <c r="G193" s="26"/>
      <c r="H193" s="26"/>
    </row>
    <row r="194" spans="7:8" ht="12.75">
      <c r="G194" s="26"/>
      <c r="H194" s="26"/>
    </row>
    <row r="195" spans="7:8" ht="12.75">
      <c r="G195" s="26"/>
      <c r="H195" s="26"/>
    </row>
    <row r="196" spans="7:8" ht="12.75">
      <c r="G196" s="26"/>
      <c r="H196" s="26"/>
    </row>
    <row r="197" spans="7:8" ht="12.75">
      <c r="G197" s="26"/>
      <c r="H197" s="26"/>
    </row>
    <row r="198" spans="7:8" ht="12.75">
      <c r="G198" s="26"/>
      <c r="H198" s="26"/>
    </row>
    <row r="199" spans="7:8" ht="12.75">
      <c r="G199" s="26"/>
      <c r="H199" s="26"/>
    </row>
    <row r="200" spans="7:8" ht="12.75">
      <c r="G200" s="26"/>
      <c r="H200" s="26"/>
    </row>
    <row r="201" spans="7:8" ht="12.75">
      <c r="G201" s="26"/>
      <c r="H201" s="26"/>
    </row>
    <row r="202" spans="7:8" ht="12.75">
      <c r="G202" s="26"/>
      <c r="H202" s="26"/>
    </row>
    <row r="203" spans="7:8" ht="12.75">
      <c r="G203" s="26"/>
      <c r="H203" s="26"/>
    </row>
    <row r="204" spans="7:8" ht="12.75">
      <c r="G204" s="26"/>
      <c r="H204" s="26"/>
    </row>
    <row r="205" spans="7:8" ht="12.75">
      <c r="G205" s="26"/>
      <c r="H205" s="26"/>
    </row>
    <row r="206" spans="7:8" ht="12.75">
      <c r="G206" s="26"/>
      <c r="H206" s="26"/>
    </row>
    <row r="207" spans="7:8" ht="12.75">
      <c r="G207" s="26"/>
      <c r="H207" s="26"/>
    </row>
    <row r="208" spans="7:8" ht="12.75">
      <c r="G208" s="26"/>
      <c r="H208" s="26"/>
    </row>
    <row r="209" spans="7:8" ht="12.75">
      <c r="G209" s="26"/>
      <c r="H209" s="26"/>
    </row>
    <row r="210" spans="7:8" ht="12.75">
      <c r="G210" s="26"/>
      <c r="H210" s="26"/>
    </row>
    <row r="211" spans="7:8" ht="12.75">
      <c r="G211" s="26"/>
      <c r="H211" s="26"/>
    </row>
    <row r="212" spans="7:8" ht="12.75">
      <c r="G212" s="26"/>
      <c r="H212" s="26"/>
    </row>
    <row r="213" spans="7:8" ht="12.75">
      <c r="G213" s="26"/>
      <c r="H213" s="26"/>
    </row>
    <row r="214" spans="7:8" ht="12.75">
      <c r="G214" s="26"/>
      <c r="H214" s="26"/>
    </row>
    <row r="215" spans="7:8" ht="12.75">
      <c r="G215" s="26"/>
      <c r="H215" s="26"/>
    </row>
    <row r="216" spans="7:8" ht="12.75">
      <c r="G216" s="26"/>
      <c r="H216" s="26"/>
    </row>
    <row r="217" spans="7:8" ht="12.75">
      <c r="G217" s="26"/>
      <c r="H217" s="26"/>
    </row>
    <row r="218" spans="7:8" ht="12.75">
      <c r="G218" s="26"/>
      <c r="H218" s="26"/>
    </row>
    <row r="219" spans="7:8" ht="12.75">
      <c r="G219" s="26"/>
      <c r="H219" s="26"/>
    </row>
    <row r="220" spans="7:8" ht="12.75">
      <c r="G220" s="26"/>
      <c r="H220" s="26"/>
    </row>
    <row r="221" spans="7:8" ht="12.75">
      <c r="G221" s="26"/>
      <c r="H221" s="26"/>
    </row>
    <row r="222" spans="7:8" ht="12.75">
      <c r="G222" s="26"/>
      <c r="H222" s="26"/>
    </row>
    <row r="223" spans="7:8" ht="12.75">
      <c r="G223" s="26"/>
      <c r="H223" s="26"/>
    </row>
    <row r="224" spans="7:8" ht="12.75">
      <c r="G224" s="26"/>
      <c r="H224" s="26"/>
    </row>
    <row r="225" spans="7:8" ht="12.75">
      <c r="G225" s="26"/>
      <c r="H225" s="26"/>
    </row>
    <row r="226" spans="7:8" ht="12.75">
      <c r="G226" s="26"/>
      <c r="H226" s="26"/>
    </row>
    <row r="227" spans="7:8" ht="12.75">
      <c r="G227" s="26"/>
      <c r="H227" s="26"/>
    </row>
    <row r="228" spans="7:8" ht="12.75">
      <c r="G228" s="26"/>
      <c r="H228" s="26"/>
    </row>
    <row r="229" spans="7:8" ht="12.75">
      <c r="G229" s="26"/>
      <c r="H229" s="26"/>
    </row>
    <row r="230" spans="7:8" ht="12.75">
      <c r="G230" s="26"/>
      <c r="H230" s="26"/>
    </row>
    <row r="231" spans="7:8" ht="12.75">
      <c r="G231" s="26"/>
      <c r="H231" s="26"/>
    </row>
    <row r="232" spans="7:8" ht="12.75">
      <c r="G232" s="26"/>
      <c r="H232" s="26"/>
    </row>
    <row r="233" spans="7:8" ht="12.75">
      <c r="G233" s="26"/>
      <c r="H233" s="26"/>
    </row>
    <row r="234" spans="7:8" ht="12.75">
      <c r="G234" s="26"/>
      <c r="H234" s="26"/>
    </row>
    <row r="235" spans="7:8" ht="12.75">
      <c r="G235" s="26"/>
      <c r="H235" s="26"/>
    </row>
    <row r="236" spans="7:8" ht="12.75">
      <c r="G236" s="26"/>
      <c r="H236" s="26"/>
    </row>
    <row r="237" spans="7:8" ht="12.75">
      <c r="G237" s="26"/>
      <c r="H237" s="26"/>
    </row>
    <row r="238" spans="7:8" ht="12.75">
      <c r="G238" s="26"/>
      <c r="H238" s="26"/>
    </row>
    <row r="239" spans="7:8" ht="12.75">
      <c r="G239" s="26"/>
      <c r="H239" s="26"/>
    </row>
    <row r="240" spans="7:8" ht="12.75">
      <c r="G240" s="26"/>
      <c r="H240" s="26"/>
    </row>
    <row r="241" spans="7:8" ht="12.75">
      <c r="G241" s="26"/>
      <c r="H241" s="26"/>
    </row>
    <row r="242" spans="7:8" ht="12.75">
      <c r="G242" s="26"/>
      <c r="H242" s="26"/>
    </row>
    <row r="243" spans="7:8" ht="12.75">
      <c r="G243" s="26"/>
      <c r="H243" s="26"/>
    </row>
    <row r="244" spans="7:8" ht="12.75">
      <c r="G244" s="26"/>
      <c r="H244" s="26"/>
    </row>
    <row r="245" spans="7:8" ht="12.75">
      <c r="G245" s="26"/>
      <c r="H245" s="26"/>
    </row>
    <row r="246" spans="7:8" ht="12.75">
      <c r="G246" s="26"/>
      <c r="H246" s="26"/>
    </row>
    <row r="247" spans="7:8" ht="12.75">
      <c r="G247" s="26"/>
      <c r="H247" s="26"/>
    </row>
    <row r="248" spans="7:8" ht="12.75">
      <c r="G248" s="26"/>
      <c r="H248" s="26"/>
    </row>
    <row r="249" spans="7:8" ht="12.75">
      <c r="G249" s="26"/>
      <c r="H249" s="26"/>
    </row>
    <row r="250" spans="7:8" ht="12.75">
      <c r="G250" s="26"/>
      <c r="H250" s="26"/>
    </row>
    <row r="251" spans="7:8" ht="12.75">
      <c r="G251" s="26"/>
      <c r="H251" s="26"/>
    </row>
    <row r="252" spans="7:8" ht="12.75">
      <c r="G252" s="26"/>
      <c r="H252" s="26"/>
    </row>
    <row r="253" spans="7:8" ht="12.75">
      <c r="G253" s="26"/>
      <c r="H253" s="26"/>
    </row>
    <row r="254" spans="7:8" ht="12.75">
      <c r="G254" s="26"/>
      <c r="H254" s="26"/>
    </row>
    <row r="255" spans="7:8" ht="12.75">
      <c r="G255" s="26"/>
      <c r="H255" s="26"/>
    </row>
    <row r="256" spans="7:8" ht="12.75">
      <c r="G256" s="26"/>
      <c r="H256" s="26"/>
    </row>
    <row r="257" spans="7:8" ht="12.75">
      <c r="G257" s="26"/>
      <c r="H257" s="26"/>
    </row>
    <row r="258" spans="7:8" ht="12.75">
      <c r="G258" s="26"/>
      <c r="H258" s="26"/>
    </row>
    <row r="259" spans="7:8" ht="12.75">
      <c r="G259" s="26"/>
      <c r="H259" s="26"/>
    </row>
    <row r="260" spans="7:8" ht="12.75">
      <c r="G260" s="26"/>
      <c r="H260" s="26"/>
    </row>
    <row r="261" spans="7:8" ht="12.75">
      <c r="G261" s="26"/>
      <c r="H261" s="26"/>
    </row>
    <row r="262" spans="7:8" ht="12.75">
      <c r="G262" s="26"/>
      <c r="H262" s="26"/>
    </row>
    <row r="263" spans="7:8" ht="12.75">
      <c r="G263" s="26"/>
      <c r="H263" s="26"/>
    </row>
    <row r="264" spans="7:8" ht="12.75">
      <c r="G264" s="26"/>
      <c r="H264" s="26"/>
    </row>
    <row r="265" spans="7:8" ht="12.75">
      <c r="G265" s="26"/>
      <c r="H265" s="26"/>
    </row>
    <row r="266" spans="7:8" ht="12.75">
      <c r="G266" s="26"/>
      <c r="H266" s="26"/>
    </row>
    <row r="267" spans="7:8" ht="12.75">
      <c r="G267" s="26"/>
      <c r="H267" s="26"/>
    </row>
    <row r="268" spans="7:8" ht="12.75">
      <c r="G268" s="26"/>
      <c r="H268" s="26"/>
    </row>
    <row r="269" spans="7:8" ht="12.75">
      <c r="G269" s="26"/>
      <c r="H269" s="26"/>
    </row>
    <row r="270" spans="7:8" ht="12.75">
      <c r="G270" s="26"/>
      <c r="H270" s="26"/>
    </row>
    <row r="271" spans="7:8" ht="12.75">
      <c r="G271" s="26"/>
      <c r="H271" s="26"/>
    </row>
    <row r="272" spans="7:8" ht="12.75">
      <c r="G272" s="26"/>
      <c r="H272" s="26"/>
    </row>
    <row r="273" spans="7:8" ht="12.75">
      <c r="G273" s="26"/>
      <c r="H273" s="26"/>
    </row>
    <row r="274" spans="7:8" ht="12.75">
      <c r="G274" s="26"/>
      <c r="H274" s="26"/>
    </row>
    <row r="275" spans="7:8" ht="12.75">
      <c r="G275" s="26"/>
      <c r="H275" s="26"/>
    </row>
    <row r="276" spans="7:8" ht="12.75">
      <c r="G276" s="26"/>
      <c r="H276" s="26"/>
    </row>
    <row r="277" spans="7:8" ht="12.75">
      <c r="G277" s="26"/>
      <c r="H277" s="26"/>
    </row>
    <row r="278" spans="7:8" ht="12.75">
      <c r="G278" s="26"/>
      <c r="H278" s="26"/>
    </row>
    <row r="279" spans="7:8" ht="12.75">
      <c r="G279" s="26"/>
      <c r="H279" s="26"/>
    </row>
    <row r="280" spans="7:8" ht="12.75">
      <c r="G280" s="26"/>
      <c r="H280" s="26"/>
    </row>
    <row r="281" spans="7:8" ht="12.75">
      <c r="G281" s="26"/>
      <c r="H281" s="26"/>
    </row>
    <row r="282" spans="7:8" ht="12.75">
      <c r="G282" s="26"/>
      <c r="H282" s="26"/>
    </row>
    <row r="283" spans="7:8" ht="12.75">
      <c r="G283" s="26"/>
      <c r="H283" s="26"/>
    </row>
    <row r="284" spans="7:8" ht="12.75">
      <c r="G284" s="26"/>
      <c r="H284" s="26"/>
    </row>
    <row r="285" spans="7:8" ht="12.75">
      <c r="G285" s="26"/>
      <c r="H285" s="26"/>
    </row>
    <row r="286" spans="7:8" ht="12.75">
      <c r="G286" s="26"/>
      <c r="H286" s="26"/>
    </row>
    <row r="287" spans="7:8" ht="12.75">
      <c r="G287" s="26"/>
      <c r="H287" s="26"/>
    </row>
    <row r="288" spans="7:8" ht="12.75">
      <c r="G288" s="26"/>
      <c r="H288" s="26"/>
    </row>
    <row r="289" spans="7:8" ht="12.75">
      <c r="G289" s="26"/>
      <c r="H289" s="26"/>
    </row>
    <row r="290" spans="7:8" ht="12.75">
      <c r="G290" s="26"/>
      <c r="H290" s="26"/>
    </row>
    <row r="291" spans="7:8" ht="12.75">
      <c r="G291" s="26"/>
      <c r="H291" s="26"/>
    </row>
    <row r="292" spans="7:8" ht="12.75">
      <c r="G292" s="26"/>
      <c r="H292" s="26"/>
    </row>
    <row r="293" spans="7:8" ht="12.75">
      <c r="G293" s="26"/>
      <c r="H293" s="26"/>
    </row>
    <row r="294" spans="7:8" ht="12.75">
      <c r="G294" s="26"/>
      <c r="H294" s="26"/>
    </row>
    <row r="295" spans="7:8" ht="12.75">
      <c r="G295" s="26"/>
      <c r="H295" s="26"/>
    </row>
    <row r="296" spans="7:8" ht="12.75">
      <c r="G296" s="26"/>
      <c r="H296" s="26"/>
    </row>
    <row r="297" spans="7:8" ht="12.75">
      <c r="G297" s="26"/>
      <c r="H297" s="26"/>
    </row>
    <row r="298" spans="7:8" ht="12.75">
      <c r="G298" s="26"/>
      <c r="H298" s="26"/>
    </row>
    <row r="299" spans="7:8" ht="12.75">
      <c r="G299" s="26"/>
      <c r="H299" s="26"/>
    </row>
    <row r="300" spans="7:8" ht="12.75">
      <c r="G300" s="26"/>
      <c r="H300" s="26"/>
    </row>
    <row r="301" spans="7:8" ht="12.75">
      <c r="G301" s="26"/>
      <c r="H301" s="26"/>
    </row>
    <row r="302" spans="7:8" ht="12.75">
      <c r="G302" s="26"/>
      <c r="H302" s="26"/>
    </row>
    <row r="303" spans="7:8" ht="12.75">
      <c r="G303" s="26"/>
      <c r="H303" s="26"/>
    </row>
    <row r="304" spans="7:8" ht="12.75">
      <c r="G304" s="26"/>
      <c r="H304" s="26"/>
    </row>
    <row r="305" spans="7:8" ht="12.75">
      <c r="G305" s="26"/>
      <c r="H305" s="26"/>
    </row>
    <row r="306" spans="7:8" ht="12.75">
      <c r="G306" s="26"/>
      <c r="H306" s="26"/>
    </row>
    <row r="307" spans="7:8" ht="12.75">
      <c r="G307" s="26"/>
      <c r="H307" s="26"/>
    </row>
    <row r="308" spans="7:8" ht="12.75">
      <c r="G308" s="26"/>
      <c r="H308" s="26"/>
    </row>
    <row r="309" spans="7:8" ht="12.75">
      <c r="G309" s="26"/>
      <c r="H309" s="26"/>
    </row>
    <row r="310" spans="7:8" ht="12.75">
      <c r="G310" s="26"/>
      <c r="H310" s="26"/>
    </row>
    <row r="311" spans="7:8" ht="12.75">
      <c r="G311" s="26"/>
      <c r="H311" s="26"/>
    </row>
    <row r="312" spans="7:8" ht="12.75">
      <c r="G312" s="26"/>
      <c r="H312" s="26"/>
    </row>
    <row r="313" spans="7:8" ht="12.75">
      <c r="G313" s="26"/>
      <c r="H313" s="26"/>
    </row>
    <row r="314" spans="7:8" ht="12.75">
      <c r="G314" s="26"/>
      <c r="H314" s="26"/>
    </row>
    <row r="315" spans="7:8" ht="12.75">
      <c r="G315" s="26"/>
      <c r="H315" s="26"/>
    </row>
    <row r="316" spans="7:8" ht="12.75">
      <c r="G316" s="26"/>
      <c r="H316" s="26"/>
    </row>
    <row r="317" spans="7:8" ht="12.75">
      <c r="G317" s="26"/>
      <c r="H317" s="26"/>
    </row>
    <row r="318" spans="7:8" ht="12.75">
      <c r="G318" s="26"/>
      <c r="H318" s="26"/>
    </row>
    <row r="319" spans="7:8" ht="12.75">
      <c r="G319" s="26"/>
      <c r="H319" s="26"/>
    </row>
    <row r="320" spans="7:8" ht="12.75">
      <c r="G320" s="26"/>
      <c r="H320" s="26"/>
    </row>
    <row r="321" spans="7:8" ht="12.75">
      <c r="G321" s="26"/>
      <c r="H321" s="26"/>
    </row>
    <row r="322" spans="7:8" ht="12.75">
      <c r="G322" s="26"/>
      <c r="H322" s="26"/>
    </row>
    <row r="323" spans="7:8" ht="12.75">
      <c r="G323" s="26"/>
      <c r="H323" s="26"/>
    </row>
    <row r="324" spans="7:8" ht="12.75">
      <c r="G324" s="26"/>
      <c r="H324" s="26"/>
    </row>
    <row r="325" spans="7:8" ht="12.75">
      <c r="G325" s="26"/>
      <c r="H325" s="26"/>
    </row>
    <row r="326" spans="7:8" ht="12.75">
      <c r="G326" s="26"/>
      <c r="H326" s="26"/>
    </row>
    <row r="327" spans="7:8" ht="12.75">
      <c r="G327" s="26"/>
      <c r="H327" s="26"/>
    </row>
    <row r="328" spans="7:8" ht="12.75">
      <c r="G328" s="26"/>
      <c r="H328" s="26"/>
    </row>
    <row r="329" spans="7:8" ht="12.75">
      <c r="G329" s="26"/>
      <c r="H329" s="26"/>
    </row>
    <row r="330" spans="7:8" ht="12.75">
      <c r="G330" s="26"/>
      <c r="H330" s="26"/>
    </row>
    <row r="331" spans="7:8" ht="12.75">
      <c r="G331" s="26"/>
      <c r="H331" s="26"/>
    </row>
    <row r="332" spans="7:8" ht="12.75">
      <c r="G332" s="26"/>
      <c r="H332" s="26"/>
    </row>
    <row r="333" spans="7:8" ht="12.75">
      <c r="G333" s="26"/>
      <c r="H333" s="26"/>
    </row>
    <row r="334" spans="7:8" ht="12.75">
      <c r="G334" s="26"/>
      <c r="H334" s="26"/>
    </row>
    <row r="335" spans="7:8" ht="12.75">
      <c r="G335" s="26"/>
      <c r="H335" s="26"/>
    </row>
    <row r="336" spans="7:8" ht="12.75">
      <c r="G336" s="26"/>
      <c r="H336" s="26"/>
    </row>
    <row r="337" spans="7:8" ht="12.75">
      <c r="G337" s="26"/>
      <c r="H337" s="26"/>
    </row>
    <row r="338" spans="7:8" ht="12.75">
      <c r="G338" s="26"/>
      <c r="H338" s="26"/>
    </row>
    <row r="339" spans="7:8" ht="12.75">
      <c r="G339" s="26"/>
      <c r="H339" s="26"/>
    </row>
    <row r="340" spans="7:8" ht="12.75">
      <c r="G340" s="26"/>
      <c r="H340" s="26"/>
    </row>
    <row r="341" spans="7:8" ht="12.75">
      <c r="G341" s="26"/>
      <c r="H341" s="26"/>
    </row>
    <row r="342" spans="7:8" ht="12.75">
      <c r="G342" s="26"/>
      <c r="H342" s="26"/>
    </row>
    <row r="343" spans="7:8" ht="12.75">
      <c r="G343" s="26"/>
      <c r="H343" s="26"/>
    </row>
    <row r="344" spans="7:8" ht="12.75">
      <c r="G344" s="26"/>
      <c r="H344" s="26"/>
    </row>
    <row r="345" spans="7:8" ht="12.75">
      <c r="G345" s="26"/>
      <c r="H345" s="26"/>
    </row>
    <row r="346" spans="7:8" ht="12.75">
      <c r="G346" s="26"/>
      <c r="H346" s="26"/>
    </row>
    <row r="347" spans="7:8" ht="12.75">
      <c r="G347" s="26"/>
      <c r="H347" s="26"/>
    </row>
    <row r="348" spans="7:8" ht="12.75">
      <c r="G348" s="26"/>
      <c r="H348" s="26"/>
    </row>
    <row r="349" spans="7:8" ht="12.75">
      <c r="G349" s="26"/>
      <c r="H349" s="26"/>
    </row>
    <row r="350" spans="7:8" ht="12.75">
      <c r="G350" s="26"/>
      <c r="H350" s="26"/>
    </row>
    <row r="351" spans="7:8" ht="12.75">
      <c r="G351" s="26"/>
      <c r="H351" s="26"/>
    </row>
    <row r="352" spans="7:8" ht="12.75">
      <c r="G352" s="26"/>
      <c r="H352" s="26"/>
    </row>
    <row r="353" spans="7:8" ht="12.75">
      <c r="G353" s="26"/>
      <c r="H353" s="26"/>
    </row>
    <row r="354" spans="7:8" ht="12.75">
      <c r="G354" s="26"/>
      <c r="H354" s="26"/>
    </row>
    <row r="355" spans="7:8" ht="12.75">
      <c r="G355" s="26"/>
      <c r="H355" s="26"/>
    </row>
    <row r="356" spans="7:8" ht="12.75">
      <c r="G356" s="26"/>
      <c r="H356" s="26"/>
    </row>
    <row r="357" spans="7:8" ht="12.75">
      <c r="G357" s="26"/>
      <c r="H357" s="26"/>
    </row>
    <row r="358" spans="7:8" ht="12.75">
      <c r="G358" s="26"/>
      <c r="H358" s="26"/>
    </row>
    <row r="359" spans="7:8" ht="12.75">
      <c r="G359" s="26"/>
      <c r="H359" s="26"/>
    </row>
    <row r="360" spans="7:8" ht="12.75">
      <c r="G360" s="26"/>
      <c r="H360" s="26"/>
    </row>
    <row r="361" spans="7:8" ht="12.75">
      <c r="G361" s="26"/>
      <c r="H361" s="26"/>
    </row>
    <row r="362" spans="7:8" ht="12.75">
      <c r="G362" s="26"/>
      <c r="H362" s="26"/>
    </row>
    <row r="363" spans="7:8" ht="12.75">
      <c r="G363" s="26"/>
      <c r="H363" s="26"/>
    </row>
    <row r="364" spans="7:8" ht="12.75">
      <c r="G364" s="26"/>
      <c r="H364" s="26"/>
    </row>
    <row r="365" spans="7:8" ht="12.75">
      <c r="G365" s="26"/>
      <c r="H365" s="26"/>
    </row>
    <row r="366" spans="7:8" ht="12.75">
      <c r="G366" s="26"/>
      <c r="H366" s="26"/>
    </row>
    <row r="367" spans="7:8" ht="12.75">
      <c r="G367" s="26"/>
      <c r="H367" s="26"/>
    </row>
    <row r="368" spans="7:8" ht="12.75">
      <c r="G368" s="26"/>
      <c r="H368" s="26"/>
    </row>
    <row r="369" spans="7:8" ht="12.75">
      <c r="G369" s="26"/>
      <c r="H369" s="26"/>
    </row>
    <row r="370" spans="7:8" ht="12.75">
      <c r="G370" s="26"/>
      <c r="H370" s="26"/>
    </row>
    <row r="371" spans="7:8" ht="12.75">
      <c r="G371" s="26"/>
      <c r="H371" s="26"/>
    </row>
    <row r="372" spans="7:8" ht="12.75">
      <c r="G372" s="26"/>
      <c r="H372" s="26"/>
    </row>
    <row r="373" spans="7:8" ht="12.75">
      <c r="G373" s="26"/>
      <c r="H373" s="26"/>
    </row>
    <row r="374" spans="7:8" ht="12.75">
      <c r="G374" s="26"/>
      <c r="H374" s="26"/>
    </row>
    <row r="375" spans="7:8" ht="12.75">
      <c r="G375" s="26"/>
      <c r="H375" s="26"/>
    </row>
    <row r="376" spans="7:8" ht="12.75">
      <c r="G376" s="26"/>
      <c r="H376" s="26"/>
    </row>
    <row r="377" spans="7:8" ht="12.75">
      <c r="G377" s="26"/>
      <c r="H377" s="26"/>
    </row>
    <row r="378" spans="7:8" ht="12.75">
      <c r="G378" s="26"/>
      <c r="H378" s="26"/>
    </row>
    <row r="379" spans="7:8" ht="12.75">
      <c r="G379" s="26"/>
      <c r="H379" s="26"/>
    </row>
    <row r="380" spans="7:8" ht="12.75">
      <c r="G380" s="26"/>
      <c r="H380" s="26"/>
    </row>
    <row r="381" spans="7:8" ht="12.75">
      <c r="G381" s="26"/>
      <c r="H381" s="26"/>
    </row>
    <row r="382" spans="7:8" ht="12.75">
      <c r="G382" s="26"/>
      <c r="H382" s="26"/>
    </row>
    <row r="383" spans="7:8" ht="12.75">
      <c r="G383" s="26"/>
      <c r="H383" s="26"/>
    </row>
    <row r="384" spans="7:8" ht="12.75">
      <c r="G384" s="26"/>
      <c r="H384" s="26"/>
    </row>
    <row r="385" spans="7:8" ht="12.75">
      <c r="G385" s="26"/>
      <c r="H385" s="26"/>
    </row>
    <row r="386" spans="7:8" ht="12.75">
      <c r="G386" s="26"/>
      <c r="H386" s="26"/>
    </row>
    <row r="387" spans="7:8" ht="12.75">
      <c r="G387" s="26"/>
      <c r="H387" s="26"/>
    </row>
    <row r="388" spans="7:8" ht="12.75">
      <c r="G388" s="26"/>
      <c r="H388" s="26"/>
    </row>
    <row r="389" spans="7:8" ht="12.75">
      <c r="G389" s="26"/>
      <c r="H389" s="26"/>
    </row>
    <row r="390" spans="7:8" ht="12.75">
      <c r="G390" s="26"/>
      <c r="H390" s="26"/>
    </row>
    <row r="391" spans="7:8" ht="12.75">
      <c r="G391" s="26"/>
      <c r="H391" s="26"/>
    </row>
    <row r="392" spans="7:8" ht="12.75">
      <c r="G392" s="26"/>
      <c r="H392" s="26"/>
    </row>
    <row r="393" spans="7:8" ht="12.75">
      <c r="G393" s="26"/>
      <c r="H393" s="26"/>
    </row>
    <row r="394" spans="7:8" ht="12.75">
      <c r="G394" s="26"/>
      <c r="H394" s="26"/>
    </row>
    <row r="395" spans="7:8" ht="12.75">
      <c r="G395" s="26"/>
      <c r="H395" s="26"/>
    </row>
    <row r="396" spans="7:8" ht="12.75">
      <c r="G396" s="26"/>
      <c r="H396" s="26"/>
    </row>
    <row r="397" spans="7:8" ht="12.75">
      <c r="G397" s="26"/>
      <c r="H397" s="26"/>
    </row>
    <row r="398" spans="7:8" ht="12.75">
      <c r="G398" s="26"/>
      <c r="H398" s="26"/>
    </row>
    <row r="399" spans="7:8" ht="12.75">
      <c r="G399" s="26"/>
      <c r="H399" s="26"/>
    </row>
    <row r="400" spans="7:8" ht="12.75">
      <c r="G400" s="26"/>
      <c r="H400" s="26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0" operator="lessThan" stopIfTrue="1">
      <formula>0</formula>
    </cfRule>
  </conditionalFormatting>
  <printOptions/>
  <pageMargins left="0.61" right="0.16" top="0.37" bottom="0.42" header="0.17" footer="0.18"/>
  <pageSetup horizontalDpi="600" verticalDpi="600" orientation="portrait" paperSize="9" scale="4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1">
      <selection activeCell="S19" sqref="S19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40</v>
      </c>
      <c r="B1" s="4"/>
      <c r="C1" s="4"/>
      <c r="D1" s="4" t="s">
        <v>38</v>
      </c>
      <c r="E1" s="5">
        <f>'аналіз фінансування'!C144</f>
        <v>896182.7999999999</v>
      </c>
    </row>
    <row r="2" spans="1:5" ht="15.75">
      <c r="A2" s="4"/>
      <c r="B2" s="4"/>
      <c r="C2" s="4"/>
      <c r="D2" s="4" t="s">
        <v>39</v>
      </c>
      <c r="E2" s="5">
        <f>'аналіз фінансування'!D144</f>
        <v>253100.59999999998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20" sqref="Q20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G47" sqref="G4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M36" sqref="M3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25" sqref="R2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Q25" sqref="Q25:R2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Q24" sqref="Q24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Q21" sqref="Q21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40</v>
      </c>
      <c r="B1" s="4"/>
      <c r="C1" s="4"/>
      <c r="D1" s="4" t="s">
        <v>38</v>
      </c>
      <c r="E1" s="5">
        <f>'аналіз фінансування'!C144</f>
        <v>896182.7999999999</v>
      </c>
    </row>
    <row r="2" spans="1:5" ht="15.75">
      <c r="A2" s="4"/>
      <c r="B2" s="4"/>
      <c r="C2" s="4"/>
      <c r="D2" s="4" t="s">
        <v>39</v>
      </c>
      <c r="E2" s="5">
        <f>'аналіз фінансування'!D144</f>
        <v>253100.59999999998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2015-03-31T07:40:44Z</cp:lastPrinted>
  <dcterms:created xsi:type="dcterms:W3CDTF">2000-06-20T04:48:00Z</dcterms:created>
  <dcterms:modified xsi:type="dcterms:W3CDTF">2015-04-22T05:10:42Z</dcterms:modified>
  <cp:category/>
  <cp:version/>
  <cp:contentType/>
  <cp:contentStatus/>
</cp:coreProperties>
</file>